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2537536B-1AA6-4C56-A9AC-D94DE2AC21C2}" xr6:coauthVersionLast="47" xr6:coauthVersionMax="47" xr10:uidLastSave="{00000000-0000-0000-0000-000000000000}"/>
  <bookViews>
    <workbookView xWindow="-120" yWindow="-120" windowWidth="24240" windowHeight="13140" tabRatio="710" firstSheet="12" activeTab="13"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DMOT" sheetId="27" state="hidden" r:id="rId10"/>
    <sheet name="Hoja1" sheetId="28" state="hidden" r:id="rId11"/>
    <sheet name="ANEXO 1" sheetId="25" state="hidden" r:id="rId12"/>
    <sheet name="ANEXO 2" sheetId="23" r:id="rId13"/>
    <sheet name="ANEXO 3" sheetId="24" r:id="rId14"/>
  </sheets>
  <definedNames>
    <definedName name="_xlnm.Print_Area" localSheetId="11">'ANEXO 1'!$A$1:$R$32</definedName>
    <definedName name="_xlnm.Print_Area" localSheetId="12">'ANEXO 2'!$A$1:$K$65</definedName>
    <definedName name="_xlnm.Print_Area" localSheetId="13">'ANEXO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'OAP-DMOT'!$A$1:$U$32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24" l="1"/>
  <c r="C28" i="24"/>
  <c r="G30" i="25"/>
  <c r="M10" i="27"/>
  <c r="N14" i="25"/>
  <c r="L30" i="25"/>
  <c r="D30" i="25"/>
  <c r="T1" i="27"/>
  <c r="P1" i="27"/>
  <c r="R1" i="27" s="1"/>
  <c r="U1" i="27" l="1"/>
  <c r="R23" i="25"/>
  <c r="R18" i="25"/>
  <c r="R14" i="25"/>
  <c r="R11" i="25"/>
  <c r="R8" i="25"/>
  <c r="Q23" i="25"/>
  <c r="Q18" i="25"/>
  <c r="Q14" i="25"/>
  <c r="Q11" i="25"/>
  <c r="Q8" i="25"/>
  <c r="M8" i="27" l="1"/>
  <c r="M25" i="27"/>
  <c r="M15" i="27"/>
  <c r="M24" i="27"/>
  <c r="M14" i="27"/>
  <c r="P14" i="27" s="1"/>
  <c r="Q14" i="27" s="1"/>
  <c r="R14" i="27" s="1"/>
  <c r="M20" i="27"/>
  <c r="M12" i="27"/>
  <c r="M19" i="27"/>
  <c r="M11" i="27"/>
  <c r="M17" i="27"/>
  <c r="M23" i="27"/>
  <c r="M13" i="27"/>
  <c r="M18" i="27"/>
  <c r="M16" i="27"/>
  <c r="K8" i="27"/>
  <c r="K11" i="27"/>
  <c r="K18" i="27"/>
  <c r="K23" i="27" l="1"/>
  <c r="P11" i="27"/>
  <c r="N11" i="25" s="1"/>
  <c r="M9" i="27"/>
  <c r="P8" i="27" s="1"/>
  <c r="I26" i="25"/>
  <c r="I25" i="25"/>
  <c r="I24" i="25"/>
  <c r="I23" i="25"/>
  <c r="I20" i="25"/>
  <c r="I19" i="25"/>
  <c r="I18" i="25"/>
  <c r="I17" i="25"/>
  <c r="I16" i="25"/>
  <c r="I15" i="25"/>
  <c r="I14" i="25"/>
  <c r="I13" i="25"/>
  <c r="I12" i="25"/>
  <c r="I11" i="25"/>
  <c r="I10" i="25"/>
  <c r="I9" i="25"/>
  <c r="I8" i="25"/>
  <c r="K18" i="25"/>
  <c r="K14" i="27"/>
  <c r="K14" i="25" s="1"/>
  <c r="K11" i="25"/>
  <c r="H21" i="27"/>
  <c r="H27" i="27" s="1"/>
  <c r="P23" i="27" l="1"/>
  <c r="Q23" i="27" s="1"/>
  <c r="O23" i="25" s="1"/>
  <c r="K23" i="25"/>
  <c r="P18" i="27"/>
  <c r="Q18" i="27" s="1"/>
  <c r="Q11" i="27"/>
  <c r="R11" i="27" s="1"/>
  <c r="Q8" i="27"/>
  <c r="K8" i="25"/>
  <c r="K21" i="27"/>
  <c r="R8" i="27" l="1"/>
  <c r="P8" i="25" s="1"/>
  <c r="O8" i="25"/>
  <c r="R18" i="27"/>
  <c r="P18" i="25" s="1"/>
  <c r="O18" i="25"/>
  <c r="P11" i="25"/>
  <c r="O11" i="25"/>
  <c r="N23" i="25"/>
  <c r="R23" i="27"/>
  <c r="N18" i="25"/>
  <c r="N8" i="25"/>
  <c r="P21" i="27"/>
  <c r="N21" i="25" s="1"/>
  <c r="K21" i="25"/>
  <c r="K27" i="25" s="1"/>
  <c r="K27" i="27"/>
  <c r="D65" i="23"/>
  <c r="E34" i="24" s="1"/>
  <c r="D64" i="23"/>
  <c r="E33" i="24" s="1"/>
  <c r="O14" i="25" l="1"/>
  <c r="P23" i="25"/>
  <c r="E20" i="24" s="1"/>
  <c r="P27" i="27"/>
  <c r="N27" i="25" s="1"/>
  <c r="H21" i="25"/>
  <c r="H27" i="25" s="1"/>
  <c r="R21" i="27" l="1"/>
  <c r="P14" i="25"/>
  <c r="P21" i="25" l="1"/>
  <c r="P27" i="25" s="1"/>
  <c r="R27" i="27"/>
  <c r="G54" i="23"/>
  <c r="F54" i="23"/>
  <c r="E54" i="23"/>
  <c r="G48" i="23"/>
  <c r="F48" i="23"/>
  <c r="E48" i="23"/>
  <c r="G41" i="23"/>
  <c r="F41" i="23"/>
  <c r="E41" i="23"/>
  <c r="G34" i="23"/>
  <c r="F34" i="23"/>
  <c r="E34" i="23"/>
  <c r="I28" i="23" s="1"/>
  <c r="G21" i="23"/>
  <c r="F21" i="23"/>
  <c r="E21" i="23"/>
  <c r="E27" i="23"/>
  <c r="F27" i="23"/>
  <c r="G27" i="23"/>
  <c r="E59" i="23"/>
  <c r="F59" i="23"/>
  <c r="F60" i="23" s="1"/>
  <c r="G59" i="23"/>
  <c r="I16" i="9"/>
  <c r="H13" i="9"/>
  <c r="K13" i="9"/>
  <c r="K10" i="9"/>
  <c r="H10" i="9"/>
  <c r="L10" i="9" s="1"/>
  <c r="H7" i="9"/>
  <c r="L7" i="9" s="1"/>
  <c r="M13" i="9"/>
  <c r="M7" i="9"/>
  <c r="M10" i="9"/>
  <c r="J16" i="9"/>
  <c r="B16" i="9"/>
  <c r="H27" i="5"/>
  <c r="M24" i="7"/>
  <c r="M21" i="7"/>
  <c r="M18" i="7"/>
  <c r="K24" i="7"/>
  <c r="K21" i="7"/>
  <c r="M24" i="6"/>
  <c r="J24" i="6"/>
  <c r="J24" i="7" s="1"/>
  <c r="J21" i="6"/>
  <c r="J21" i="7"/>
  <c r="J18" i="6"/>
  <c r="J18" i="7" s="1"/>
  <c r="M18" i="6"/>
  <c r="I18" i="5"/>
  <c r="I18" i="6" s="1"/>
  <c r="H18" i="6"/>
  <c r="M24" i="5"/>
  <c r="M21" i="5"/>
  <c r="M18" i="5"/>
  <c r="I24" i="5"/>
  <c r="L24" i="5" s="1"/>
  <c r="H24" i="7"/>
  <c r="I21" i="5"/>
  <c r="I21" i="7" s="1"/>
  <c r="K27" i="7"/>
  <c r="H21" i="6"/>
  <c r="B27" i="7"/>
  <c r="H21" i="7"/>
  <c r="H18" i="7"/>
  <c r="H27" i="7" s="1"/>
  <c r="D7" i="7"/>
  <c r="D6" i="7"/>
  <c r="D5" i="7"/>
  <c r="D4" i="7"/>
  <c r="B27" i="6"/>
  <c r="H24" i="6"/>
  <c r="D7" i="6"/>
  <c r="D6" i="6"/>
  <c r="D5" i="6"/>
  <c r="D4" i="6"/>
  <c r="B27" i="5"/>
  <c r="D7" i="5"/>
  <c r="D6" i="5"/>
  <c r="D5" i="5"/>
  <c r="D4" i="5"/>
  <c r="B26" i="1"/>
  <c r="I14" i="23"/>
  <c r="I21" i="6" l="1"/>
  <c r="L21" i="6" s="1"/>
  <c r="M21" i="6" s="1"/>
  <c r="L21" i="5"/>
  <c r="D13" i="24"/>
  <c r="E13" i="24" s="1"/>
  <c r="L21" i="7"/>
  <c r="H27" i="6"/>
  <c r="K16" i="9"/>
  <c r="I49" i="23"/>
  <c r="L13" i="9"/>
  <c r="I55" i="23"/>
  <c r="J27" i="6"/>
  <c r="M16" i="9"/>
  <c r="I22" i="23"/>
  <c r="I62" i="23" s="1"/>
  <c r="D15" i="24" s="1"/>
  <c r="E15" i="24" s="1"/>
  <c r="M27" i="7"/>
  <c r="I24" i="7"/>
  <c r="L24" i="7" s="1"/>
  <c r="J27" i="7"/>
  <c r="I42" i="23"/>
  <c r="M27" i="5"/>
  <c r="H16" i="9"/>
  <c r="E60" i="23"/>
  <c r="I35" i="23"/>
  <c r="L18" i="6"/>
  <c r="L16" i="9"/>
  <c r="M27" i="6"/>
  <c r="I27" i="5"/>
  <c r="I18" i="7"/>
  <c r="G60" i="23"/>
  <c r="L18" i="5"/>
  <c r="L27" i="5" s="1"/>
  <c r="I24" i="6"/>
  <c r="L24" i="6" s="1"/>
  <c r="E18" i="24" l="1"/>
  <c r="E23" i="24" s="1"/>
  <c r="J62" i="23"/>
  <c r="L18" i="7"/>
  <c r="L27" i="7" s="1"/>
  <c r="I27" i="7"/>
  <c r="L27" i="6"/>
  <c r="I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900-000001000000}">
      <text>
        <r>
          <rPr>
            <b/>
            <sz val="9"/>
            <color indexed="81"/>
            <rFont val="Tahoma"/>
            <family val="2"/>
          </rPr>
          <t>Indice acumulador gradual de los ciclos de evaluación durante el semestre II</t>
        </r>
      </text>
    </comment>
    <comment ref="N1" authorId="0" shapeId="0" xr:uid="{00000000-0006-0000-0900-000002000000}">
      <text>
        <r>
          <rPr>
            <b/>
            <sz val="9"/>
            <color indexed="81"/>
            <rFont val="Tahoma"/>
            <family val="2"/>
          </rPr>
          <t>Indice total para calcular el cierre de la evaluación</t>
        </r>
      </text>
    </comment>
    <comment ref="Q1" authorId="0" shapeId="0" xr:uid="{00000000-0006-0000-0900-000003000000}">
      <text>
        <r>
          <rPr>
            <b/>
            <sz val="9"/>
            <color indexed="81"/>
            <rFont val="Tahoma"/>
            <family val="2"/>
          </rPr>
          <t>Director 1</t>
        </r>
      </text>
    </comment>
    <comment ref="T1" authorId="0" shapeId="0" xr:uid="{00000000-0006-0000-0900-000004000000}">
      <text>
        <r>
          <rPr>
            <b/>
            <sz val="9"/>
            <color indexed="81"/>
            <rFont val="Tahoma"/>
            <family val="2"/>
          </rPr>
          <t>Director 2</t>
        </r>
      </text>
    </comment>
    <comment ref="Q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Q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R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T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C2CF9B7C-C76C-4D07-9635-E618D43003C4}">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S7" authorId="2" shapeId="0" xr:uid="{00000000-0006-0000-0900-000014000000}">
      <text>
        <r>
          <rPr>
            <sz val="12"/>
            <color indexed="81"/>
            <rFont val="Tahoma"/>
            <family val="2"/>
          </rPr>
          <t>Se registran los aspectos de mejora para el cumplimiento de los compromisos concertados que se encuentren retrasados conforme a lo programado</t>
        </r>
      </text>
    </comment>
    <comment ref="T7" authorId="1" shapeId="0" xr:uid="{00000000-0006-0000-0900-000015000000}">
      <text>
        <r>
          <rPr>
            <sz val="12"/>
            <color indexed="81"/>
            <rFont val="Tahoma"/>
            <family val="2"/>
          </rPr>
          <t>Breve descripción del producto o actividad indicada como evidencia.</t>
        </r>
      </text>
    </comment>
    <comment ref="U7" authorId="1" shapeId="0" xr:uid="{00000000-0006-0000-0900-000016000000}">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B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B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B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B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B00-000005000000}">
      <text>
        <r>
          <rPr>
            <sz val="12"/>
            <color indexed="81"/>
            <rFont val="Tahoma"/>
            <family val="2"/>
          </rPr>
          <t>Lapso de ejecución del compromiso concertado en el cual deberán adelantarse las acciones necesarias para su cumplimiento.</t>
        </r>
      </text>
    </comment>
    <comment ref="G6" authorId="1" shapeId="0" xr:uid="{00000000-0006-0000-0B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B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B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B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B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B00-00000B000000}">
      <text>
        <r>
          <rPr>
            <sz val="12"/>
            <color indexed="81"/>
            <rFont val="Tahoma"/>
            <family val="2"/>
          </rPr>
          <t>Porcentaje programado de cumplimiento de cada compromiso gerencial para este periodo.</t>
        </r>
      </text>
    </comment>
    <comment ref="K7" authorId="1" shapeId="0" xr:uid="{00000000-0006-0000-0B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B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B00-00000E000000}">
      <text>
        <r>
          <rPr>
            <sz val="12"/>
            <color indexed="81"/>
            <rFont val="Tahoma"/>
            <family val="2"/>
          </rPr>
          <t>Porcentaje programado de cumplimiento de cada compromiso gerencial durante este periodo.</t>
        </r>
      </text>
    </comment>
    <comment ref="N7" authorId="1" shapeId="0" xr:uid="{00000000-0006-0000-0B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B00-000010000000}">
      <text>
        <r>
          <rPr>
            <sz val="12"/>
            <color indexed="81"/>
            <rFont val="Tahoma"/>
            <family val="2"/>
          </rPr>
          <t>Breve descripción del producto o actividad indicada como evidencia.</t>
        </r>
      </text>
    </comment>
    <comment ref="R7" authorId="0" shapeId="0" xr:uid="{00000000-0006-0000-0B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C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C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C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<sst xmlns="http://schemas.openxmlformats.org/spreadsheetml/2006/main" count="708" uniqueCount="382">
  <si>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</si>
  <si>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</si>
  <si>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</si>
  <si>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</si>
  <si>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</si>
  <si>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</si>
  <si>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</si>
  <si>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</si>
  <si>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</si>
  <si>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</si>
  <si>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</si>
  <si>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</si>
  <si>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</si>
  <si>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</si>
  <si>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</si>
  <si>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</si>
  <si>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</si>
  <si>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</si>
  <si>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</si>
  <si>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</si>
  <si>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</si>
  <si>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</si>
  <si>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</si>
  <si>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</si>
  <si>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</si>
  <si>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</si>
  <si>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</si>
  <si>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</si>
  <si>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</si>
  <si>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</si>
  <si>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</si>
  <si>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</si>
  <si>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</si>
  <si>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</si>
  <si>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</si>
  <si>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</si>
  <si>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</si>
  <si>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</si>
  <si>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</si>
  <si>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</si>
  <si>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</si>
  <si>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</si>
  <si>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</si>
  <si>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</si>
  <si>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</si>
  <si>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</si>
  <si>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</si>
  <si>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</si>
  <si>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</si>
  <si>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</si>
  <si>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</si>
  <si>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</si>
  <si>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</si>
  <si>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</si>
  <si>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</si>
  <si>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</si>
  <si>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</si>
  <si>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</si>
  <si>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</si>
  <si>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</si>
  <si>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</si>
  <si>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</si>
  <si>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</si>
  <si>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</si>
  <si>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</si>
  <si>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</si>
  <si>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</si>
  <si>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</si>
  <si>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</si>
  <si>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</si>
  <si>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</si>
  <si>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</si>
  <si>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</si>
  <si>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</si>
  <si>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</si>
  <si>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</si>
  <si>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</si>
  <si>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</si>
  <si>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</si>
  <si>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</si>
  <si>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</si>
  <si>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</si>
  <si>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</si>
  <si>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</si>
  <si>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</si>
  <si>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</si>
  <si>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</si>
  <si>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</si>
  <si>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</si>
  <si>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</si>
  <si>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</si>
  <si>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</si>
  <si>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</si>
  <si>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</si>
  <si>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</si>
  <si>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</si>
  <si>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</si>
  <si>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</si>
  <si>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</si>
  <si>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</si>
  <si>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</si>
  <si>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</si>
  <si>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</si>
  <si>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</si>
  <si>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</si>
  <si>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</si>
  <si>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</si>
  <si>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</si>
  <si>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</si>
  <si>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</si>
  <si>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</si>
  <si>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</si>
  <si>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</si>
  <si>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</si>
  <si>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</si>
  <si>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</si>
  <si>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</si>
  <si>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</si>
  <si>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</si>
  <si>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</si>
  <si>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</si>
  <si>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</si>
  <si>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</si>
  <si>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</si>
  <si>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</si>
  <si>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</si>
  <si>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</si>
  <si>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</si>
  <si>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</si>
  <si>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</si>
  <si>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</si>
  <si>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</si>
  <si>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</si>
  <si>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</si>
  <si>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</si>
  <si>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</si>
  <si>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</si>
  <si>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</si>
  <si>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</si>
  <si>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</si>
  <si>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</si>
  <si>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</si>
  <si>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</si>
  <si>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</si>
  <si>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</si>
  <si>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</si>
  <si>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</si>
  <si>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</si>
  <si>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</si>
  <si>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</si>
  <si>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</si>
  <si>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</si>
  <si>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</si>
  <si>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</si>
  <si>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</si>
  <si>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</si>
  <si>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</si>
  <si>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</si>
  <si>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</si>
  <si>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</si>
  <si>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</si>
  <si>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</si>
  <si>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</si>
  <si>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</si>
  <si>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</si>
  <si>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</si>
  <si>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</si>
  <si>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</si>
  <si>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</si>
  <si>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</si>
  <si>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</si>
  <si>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</si>
  <si>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</si>
  <si>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</si>
  <si>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</si>
  <si>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</si>
  <si>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</si>
  <si>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</si>
  <si>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</si>
  <si>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</si>
  <si>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</si>
  <si>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</si>
  <si>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</si>
  <si>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</si>
  <si>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</si>
  <si>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</si>
  <si>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</si>
  <si>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</si>
  <si>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</si>
  <si>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</si>
  <si>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</si>
  <si>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</si>
  <si>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</si>
  <si>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</si>
  <si>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</si>
  <si>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</si>
  <si>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</si>
  <si>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Mantener el reconocimiento internacional como agencia nacional de referencia en vigilancia post comercialización de dispositivos médicos en la Región de las Américas y compartir experiencias en vigilancia post comercialización de reactivos de diagnóstico in vitro
</t>
  </si>
  <si>
    <t>01/01/2022 - 31/12/2022</t>
  </si>
  <si>
    <t>1.1 Capacitar a paises de habla hispana de la región de las Américas a traves de nuestra Aula Virtual.</t>
  </si>
  <si>
    <t>1.1. En el primer semestre del año, no se pudo realizar capacitación sobre tecnovigilancia a actores internacionales, debido al ciberataque que sufrió el instituto en el mes de febrero, y por tanto no permitió tener acceso al aula virtual para realizar estas capacitaciones.  Adicionalmente una vez superado el incidente tecnológico se vió en la necesidad de reconstruir parte de la información de los cursos virutales. Por lo tanto, durante este primer semestre se dió prioridad a la actualización del contenido del aula virtual. Por lo tanto, las respectivas convocatorias y cursos serán realizados en el segundo semestre del año 2022, para lo cual ya se está programando un piloto para la verificación del funcionamiento del aula virtual.</t>
  </si>
  <si>
    <t>Se relacionan los correos de envio del correo  INVITACIÓN A OPS _ CURSO TECNOVIGILANCIA EN COLOMBIA - para el inicio del curso de tecnovigilancia el 29/10/2022, asi como el correo que la OPS envío a la red.
Se relaciona correo de reprogramación del curso hasta tanto se restablezcan los servidores del Aula virtual
Se relaciono correo con nueva propuesta para webinar y dar continuidad a los cursos</t>
  </si>
  <si>
    <t>https://invimagovco.sharepoint.com/sites/o365_CC_DDM/CC_DDM_D/Forms/AllItems.aspx?id=%2Fsites%2Fo365%5FCC%5FDDM%2FCC%5FDDM%5FD%2FACUERDOS%20DE%20GESTION%2F2022%2FEVIDENCIAS%20II%20SEMESTRE%20%2D%202109%20A%203112%2F1%2E%20RECONOCIMIENTO%20INTERNACIONAL%2F1%2E1&amp;viewid=e8a78d4d%2D2054%2D4344%2D8647%2D176dec0d318a
https://invimagovco.sharepoint.com/sites/o365_TECNOVIGILANCIA2/Shared%20Documents/Forms/AllItems.aspx?id=%2Fsites%2Fo365%5FTECNOVIGILANCIA2%2FShared%20Documents%2FDATOS%20POA%202022%2FSEPTIEMBRE%2FEDUCACION%20SANITARIA%2FCAPACITACI%C3%93N%2FCAPACITACI%C3%93N%20DIGEMID&amp;viewid=f198a781%2D8767%2D4db7%2D8119%2Da37df3729394</t>
  </si>
  <si>
    <t>1.2 Realizar actividades de Cooperación Internacional bidireccionales con los paises de la Región de las Américas.</t>
  </si>
  <si>
    <t>1.2 Durante los días 1, 2 y 3 de junio asistimos como participantes y expositores en la X Reunión de las Autoridades Reguladoras para el Fortalecimiento de la Capacidad Reguladora de los Dispositivos Médicos en la Región de las Américas organizada por OPS. Allí se abordaron diferentes temas referentes con dispositivos médicos a nivel de la región.
Los días 24 y 25 de mayo se realizó una reunión bilaterial presencial en la ciudad de Bogotá entre FDA e INVIMA, desarrollada en el marco de la estrategia de acciones orientadas a la diplomacia sanitaria y al fortalecimiento de capacidades institucionales a través de la gestión de la cooperación internacional. Allí se abordaron temas relacionados con: CFR 820 e ISO 13485, Implementación de la regulación UDI, Clasificación de productos de la FDA e información sobre bases de datos, Ensayos Clínicos de Dispositivos Médicos, buenas prácticas de revisión regulatoria, Productos Borderline, Células, tejidos y productos de células y tejidos humanos HCT/Ps y Futuras Colaboraciones.
Adicionalmente, durante el mes de abril asistimos como conferencistas al Congreso BIOHABANA 2022, puntualmente en la sesión organizada por CECMED, con la intervención sobre "Hacia la Convergencia Regulatoria y el Reliance".
finalmente participamos en las reuniones realizadas por OPS en las cuales nos contactó para la donación de equipos de análisis de tapabocas. Hemos apoyado este proceso siendo el puente con la Oficina de laboratorios.</t>
  </si>
  <si>
    <t xml:space="preserve">1.2 Se atendió una invitacion de la Dirección General de Medicamentos, Insumos y Drogas (DIGEMID) a participar como ponentes en la Campaña de Farmacovigilancia y Tecnovigilancia 2022, la misma se realizó el 29/09/2022 por la plataforma ZOOM con el tema "Sistemas de gestión de riesgo clinico - Metodología de AMFE".
Se atendió invitacion para participar como speaker en The Medtech Conference 2022, organizada por USAID, ANSI, ADVAMED en el marco del Proyecto de Convergencia Regulatoria de Dispositivos Médicos (MDRC) - Standard Alliance 2.0 durante los días 25 y 26 de octubre de 2023.
Se atendió invitación para participar como panelista en el  XIII Encuentro de la Red EAMI a desarrollado del 22 al 25 de noviembre en Honduras.
 </t>
  </si>
  <si>
    <t>Se relacionan soportes de cada invitacion, y presentaciones realizadas.</t>
  </si>
  <si>
    <t>1.3 Compartir con los paises de las Americas el tema de "Buenas Practicas Regulatorias" del Foro mundial de reguladores de dispositivos medicos - IMRDF en cooperacion con la Organización Panamericana de la Salud - OPS</t>
  </si>
  <si>
    <t>De acuerdo a lo acordado con el Ing. Alexandre Lemgruber, de la OPS, esta actividad será realizada con el apoyo de ellos durante el segundo semestre del año, de tal forma que se puede divulgar a todos los países miembros de la Región de las Américas. Se tiene programado agendar una reunión el próximo mes de agosto para acordar detalles de dicha divulgación.</t>
  </si>
  <si>
    <t>1.3 Dentro de las actividades de colaboración de la OPS con el Foro Internacional de Reguladores de Dispositivos Médicos (IMDRF, por su sigla en inglés), OPS ha realizado traducciones al español de los documentos técnicos del Foro. Bajo este objetivo, Invima realiza capacitación a los países miembros de la Región de las Americas del documento técnico del IMDRF sobre Investigación Clínica, el viernes 16 de diciembre de 2022, a las 11:00 am</t>
  </si>
  <si>
    <t>Se relaciona la invitación remitida por OPS a todos los países miembros de la Región para la participación de la capacitación de Colombia del documento técnico del IMDRF sobre Investigación Clínica</t>
  </si>
  <si>
    <t>Generar mecanismos de comunicación para fortalecer la interacción con las partes interesadas en los procesos llevados a cabo por la Dirección de Dispositivos Médicos</t>
  </si>
  <si>
    <t>2.1 Plantear y desarrollar estrategias de comunicación con los diferentes actores que conlleven a un conocimiento de la gestión de la Dirección de Dispositivos Médicos dando claridad a los usuarios sobre los procesos y tiempos de oportunidad de los trámites de su competencia.</t>
  </si>
  <si>
    <t xml:space="preserve">2.1. Debido al ciberataque sufrido por el instituto en febrero, se desarrollaron estrategias de comunicación con los diferentes actores a través de formularios temporales para recibir reportes de eventos e incidentes adversos, reporte de alertas, retiro de producto, hurtos, inscripción a la red tanto para el programa de Tecnoviigilancia como Reactivovigilancia, y se comunicó de estos a los actores a través de correos electrónicos, cartillas de información y redes sociales del instituto, para informar como continuar con el proceso de reportes de eventos e incidentes y RISARH - RISARH disminuyendo la afectación a nuestros actores. Adicionalmente cada viernes fueron realizadas con la Industria reuniones relacionadas con el avance de la contigencia tecnologica. Asi mismo, se participó semanalmente en las reuniones de Plan de Mando Unificado convocadas por el Ministerio de Comercio y Presidencia para tratar los temas referentes al plan de contingencia por el ciberataque. Se pueden encontrar algunas evidencias de las reuniones en la carpeta de evidencias.
Adicionalmente como consecuencia del ciberataque del 7 de febrero, se realizaron cartillas informativas para los usuarios con el objetivo de informarles sobre la apertura de los trámites en la medida que el Instituto podía realizarlos. Estas cartillas fueron publicadas en las diferentes redes sociales del Instituto.
Adicionalmente se planearon y ejecutaron 51  actividades de educacion sanitaria (Capacitacion (29) y Asistencia Tecnica (22)), dirigidas a los diferentes actores tales como Gremios, Academia, Secretarías de Salud Departamentales, Distritales y Municipales, Profesionales Independientes, Importadores, Fabricantes relacionados con dispositivos médicos, reactivos de diagnostico y otras tecnologías.
</t>
  </si>
  <si>
    <t xml:space="preserve">*Listado de asistencia de los participantes y grabación de la Reunión el día 14/12/2022 con ACOTECOP (Asociación Colombiana de Protesistas y Ortesistas)
* Listado de asistencia de los participantes y grabación de la Reunión con las asociaciones de laboratorios de salud bucal, el día 14/12/2022.
-Listado de asistencia de los participantes sobre  la socialización de la cartilla digital, el dia 1 de septiembre de 2022 con una asistencia de 106 personas.
-Correo  de fecha 30 de agosto de 2022  solicitando la publicacion de la circular  5000-0001-22 en la pagina www. invima.gov.co/Normatividad interna/ Circulares/ Externas ( Se observa que la página aun se encuentra en reconstrucción debido al ciberataque del pasado 3 de cotubre de 2022 del cual el invima fue victima y no se encuentra disponible la publicación, sin embargo se encuentra la evidencia del documento en pdf.   </t>
  </si>
  <si>
    <t>Grupo Técnico:
https://invimagovco.sharepoint.com/:f:/r/sites/o365_CC_DDM/CC_DDM_D/ACUERDOS%20DE%20GESTION/2022/EVIDENCIAS%20II%20SEMESTRE%20-%202109%20A%203112/2.%20MECANISMOS%20COMUNICACION/2.1/GT?csf=1&amp;web=1&amp;e=SeiTQC
https://invimagovco.sharepoint.com/sites/o365_CC_DDM/CC_DDM_D/Forms/AllItems.aspx?newTargetListUrl=%2Fsites%2Fo365%5FCC%5FDDM%2FCC%5FDDM%5FD&amp;viewpath=%2Fsites%2Fo365%5FCC%5FDDM%2FCC%5FDDM%5FD%2FForms%2FAllItems%2Easpx&amp;id=%2Fsites%2Fo365%5FCC%5FDDM%2FCC%5FDDM%5FD%2FACUERDOS%20DE%20GESTION%2F2022%2FEVIDENCIAS%20II%20SEMESTRE%20%2D%202109%20A%203112%2F2%2E%20MECANISMOS%20COMUNICACION%2F2%2E1&amp;viewid=e8a78d4d%2D2054%2D4344%2D8647%2D176dec0d318a
https://invimagovco.sharepoint.com/sites/o365_CC_DDM/CC_DDM_D/Forms/AllItems.aspx?id=%2Fsites%2Fo365%5FCC%5FDDM%2FCC%5FDDM%5FD%2FACUERDOS%20DE%20GESTION%2F2022%2FEVIDENCIAS%20II%20SEMESTRE%20%2D%202109%20A%203112%2F2%2E%20MECANISMOS%20COMUNICACION%2F2%2E1%2FGRS&amp;viewid=e8a78d4d%2D2054%2D4344%2D8647%2D176dec0d318a</t>
  </si>
  <si>
    <t>2.2 Elaborar y divulgar documentos técnicos y legales relacionados con los productos y procesos de la Dirección de Dispositivos Médicos</t>
  </si>
  <si>
    <t xml:space="preserve">2.2. Se realizó actualización del manual de tecnovigilancia el cual se publicará en el segundo semestre del año. De igual manera, se actualizó el ABC de dispositivos médicos en el aparte correspondiente a tecnovigilancia y su publicación se realizará en el segundo semestre del presente año. Adicionalmente, se publicó el documento "GUÍA PARA RADICAR SOLICITUDES DE VISITAS DE CERTIFICACIÓN O RECERTIFICACIÓN PARA IMPORTADORES Y FABRICANTES DE DISPOSITIVOS MÉDICOS (ESTÁNDAR Y SOBRE MEDIDA) Y REACTIVOS DE DIAGNÓSTICO IN VITRO", en la página Web del Invima, con el propósito de orientar a los usuarios, el procedimiento, los documentos, las tarifas y las rutas para realizar de manera más ágil y efectiva la radicación de una visita de certificación ante el Grupo Técnico de la Dirección de Dispositivos Médicos y Otras Tecnologías. Y también se publicó en las redes sociales del Invima un comunicado donde se informa a los usuarios acerca de la creación del “FORMATO DE INSCRIPCIÓN PARA ESTABLECIMIENTOS QUE FABRICAN DISPOSITIVOS MÉDICOS SOBRE MEDIDA BUCAL”, como una de las actividades de implementación de la Resolución 0214 de 2022.
</t>
  </si>
  <si>
    <t xml:space="preserve">2.2 Durante el periodo evaluado se publicaron los siguientes documentos:
  *GUÍA DE PROCEDIMIENTO PARA CERTIFICACIÓN Y RECERTIFICACIÓN DE AUTORIZACIÓN DE APERTURA Y FUNCIONAMIENTO DE ESTABLECIMIENTOS QUE FABRICAN Y/O REPARAN DISPOSITIVOS MÉDICOS SOBRE MEDIDA BUCAL (ASS-AYC-GU22, V. 26/10/2022)
  *FORMATO SOLICITUD DE TRÁMITES (visitas, certificaciones y certificados) (ASS-AYC-FM033, V. 26/10/2022), Se incluyen las certificaciones de Dispositivos Médicos sobre medida bucal.
  *LISTA CHEQUEO SOLICITUD DE VISITAS DE CERTIFICACIÓN DE DISPOSITIVOS MÉDICOS SOBRE MEDIDA - APERTURA Y FUNCIONAMIENTO (ASS-AYC-FM103. V. 26/10/2022), se incluyen los requisitos para solicitar las certificaciones de Dispositivos Médicos sobre medida bucal.
  *LISTA DE VERIFICACIÓN DE REQUISITOS PARA APERTURA Y FUNCIONAMIENTO DE ESTABLECIMIENTOS DE DISPOSITIVOS MÉDICOS SOBRE MEDIDA BUCAL (ASS-AYC-FM141, V. 25/11/2022), documento dirigido a los usuarios para la preparación de la visitas de certificación.
  *Comunicado de interés"Implementación de la Resolución 214 de 2022 para Dispositivos Médicos sobre medida bucal", donde se indica a los usuarios el proceso para la solicitud de visitas de certificación y recertificación de estos productos, así como los requisitos, tiempos, formatos y tarifas.
*Procedimiento de Auditorías y Certificaciones (ASS-AYC-PR001, V. 27/10/2022), actualización donde se incluyó lo relacionado con la certificaciones de Salud Bucal
*Actualización del ABC de tecnovigilancia, involucrando otros conceptos y caracteristicas propias que le permitan al usuario obtener el conocimiento para una buena implementación del programa de tecnovigilancia, el mismo se encuentra en espera de diagramación de difusión.
</t>
  </si>
  <si>
    <t>Copia de los documentos controlados por el Sistema de Gestión Integrado en sus últimas versiones de publicación:
*GUÍA DE PROCEDIMIENTO PARA CERTIFICACIÓN Y RECERTIFICACIÓN DE AUTORIZACIÓN DE APERTURA Y FUNCIONAMIENTO DE ESTABLECIMIENTOS QUE FABRICAN Y/O REPARAN DISPOSITIVOS MÉDICOS SOBRE MEDIDA BUCAL (ASS-AYC-GU22, V. 26/10/2022)
  *FORMATO SOLICITUD DE TRÁMITES (visitas, certificaciones y certificados) (ASS-AYC-FM033, V. 26/10/2022)
  *LISTA CHEQUEO SOLICITUD DE VISITAS DE CERTIFICACIÓN DE DISPOSITIVOS MÉDICOS SOBRE MEDIDA - APERTURA Y FUNCIONAMIENTO (ASS-AYC-FM103. V. 26/10/2022)
  *LISTA DE VERIFICACIÓN DE REQUISITOS PARA APERTURA Y FUNCIONAMIENTO DE ESTABLECIMIENTOS DE DISPOSITIVOS MÉDICOS SOBRE MEDIDA BUCAL (ASS-AYC-FM141, V. 25/11/2022)
 *Procedimiento de Auditorías y Certificaciones (ASS-AYC-PR001, V. 27/10/2022)
* Copia del Comunicado de interés" Implementación de la Resolución 214 de 2022 para Dispositivos Médicos sobre medida bucal"</t>
  </si>
  <si>
    <t>Grupo Técnico:
https://invimagovco.sharepoint.com/:f:/r/sites/o365_CC_DDM/CC_DDM_D/ACUERDOS%20DE%20GESTION/2022/EVIDENCIAS%20II%20SEMESTRE%20-%202109%20A%203112/2.%20MECANISMOS%20COMUNICACION/2.2/GT?csf=1&amp;web=1&amp;e=ErysMG
https://invimagovco.sharepoint.com/sites/o365_CC_DDM/CC_DDM_D/Forms/AllItems.aspx?id=%2Fsites%2Fo365%5FCC%5FDDM%2FCC%5FDDM%5FD%2FACUERDOS%20DE%20GESTION%2F2022%2FEVIDENCIAS%20II%20SEMESTRE%20%2D%202109%20A%203112%2F2%2E%20MECANISMOS%20COMUNICACION%2F2%2E2%2Fvig%20post&amp;viewid=e8a78d4d%2D2054%2D4344%2D8647%2D176dec0d318a</t>
  </si>
  <si>
    <t>2.3 Implementar las acciones de mejora derivadas de la encuesta de satisfacción del servicio prestado por parte de Invima realizada en el 2021</t>
  </si>
  <si>
    <t>2.3 Con respecto a la encuesta de satisfacción del servicio prestado por parte de Invima realizada en el 2021, se estableció de manera conjunta con el Grupo Primario un plan de acción por cada item de mejora identificado: Dentro de este plan de acción se establecieron actividades como:
* Conferencias a los usuarios sobre los insumos que ha generado la Direccion de Dispositivos Medicos para mejorar la prestacion del servicio de manera eficiente. 
* Se proyecta que la atención del Chat de la Direccion de Dispositivos Medicos a partir del año 2022, se realice por profesionales y no técnicos, esto con el fin de que los usuarios obtengan las respuestas a sus inquietudes de manera eficiente y efectiva y satisfaciendo sus necesidades de información, no obstante, esta actividad se suspendió por el ciberataque, se espera retomar una vez se reestablezca la página Web del Invima.
* Realización de un Tow Hall Meeting para los usuarios con el fin de dar a concer la gestion realizada frente a las actividades y tramites que ejecuta la DDMOT. 
* Se realizarán actividades de Sensibilización a los usuarios de los tramites de la Direccion de Dispositivos Medicos, en los cuales se dará claridad frente a los tiempos establecidos para atender oportunamente tramites de Registros Sanitarios y atención a solicitudes de Visitas de certificación de los establecimientos competencias de la DDMOT: esta actividad se tenía proyectada para el mes de febrero de 2022, no obstante, por el ciberataque no se llevó a cabo. Se espera programar esta actividad lo más proto posible para el II semestre del año. Se realizó la actividadad de divulgación de anexo al expediente en el mes de junio.
*Para el año 2022 se proyecta incrementar las metas de POA con respecto a 2021 en seguimientos a las certificaciones emitidas por la DDMOT, a fin de fortalecer los procesos de Inspección y vigilancia: Para la presente vigencia, se aumentó la meta de esta actividad, pasando de 10 proyectadas en el año 2021, a 15 visitas de seguimiento para el año 2022, es decir un 50% más. Esta actividad se está ejecutando sin inconvenientes.
La mayoría de estas actividades, han tenido que ser postergadas debido al ciberataque  ocurrido en el mes de febrero, considerando que la gestión se ha centrado en adelantar los trámites que se vieron afectados, y en reestablecer la información. Adicionalmente se espera nuevamente agendar reuniones con la Industria y el reestablecimiento de la página web del INVIMA. LA ejecución de este plan de acción, por tanto será llevado a cabo en el segundo semestre de 2022.</t>
  </si>
  <si>
    <t>2.3. Durante el año 2022, el Grupo Técnico planeó que la atención del chat los días jueves fuera atendido por profesionales, no obstante, debido a los dos (2) ciberataques presentados no se tuvo la sisponibilidad de esta aplicación como mecanismo de atención a usuarios.
*Se realizó capacitación dirigida a los GTT´s del Invima, en temas relacionados con tipos de certificación de dispositivos médicos y reactivos de diagnóstico in vitro, proceso y requisitos para la solicitud de visitas, tiempos de ejecución y aspectos importantes a tener en cuenta para estas actividades, así como la socialización del trámite de inscripción de recurso humano (Art. 39, Dec. 4725/2005), esta actividad se desarrolló con los objetivos de aclarar dudas al respecto y que en la regiones se pudiera brindar información a los usuarios por parte de los profesionales de los Grupos de Trabajo Territorial.
*Presentación para la socialización a la industria de la circular 1000-006-22, CONCEPTO DE ENVASE Y EMPAQUE DE REACTIVOS DE DIAGNÓSTICO IN VITRO Y REACTIVOS IN VITRO.
*Durante la vigencia se realizaron 18 seguimientos a las certificaciones otorgadas, de este número de visitas, el 88,9% fueron a empresas fabricantes de dispositivos médicos y el restante 11,1% a importadores de dispositivos médicos , con la siguiente distribución geográfica: cinco (5) en la ciudad de Cali, cuatro (4) en Medellín, tres (3) en la ciudad de Bogotá, dos (2) en Barranquilla, dos (2) en Envigado (Ant.), una (1) en Cúcuta y una (1) en La Estrella (Ant.); como resultado de estas actividades, fue necesario aplicar siete (7) medidas sanitarias de seguridad consistentes en la suspensión total de actividades, y una (1) clausura definitiva, ya que los establecimientos no mantienen las condiciones inicialmente certificadas</t>
  </si>
  <si>
    <t>*Listado de asistencia, grabación de la reunión y presentación de la capacitación dirigida a los GTT´s, de fecha 07/12/2022
*Listado de asistencia, grabación de la reunión y presentación de la socialización de la circular 1000-006-22 dirigida a la industria de fecha 19/10/2022
*Bases de datos de seguimientos realizados por el Grupo Técnico durante el año 2022 (base de datos de programación del Grupo Técnico filtrada)</t>
  </si>
  <si>
    <t>Grupo Técnico:
https://invimagovco.sharepoint.com/:f:/r/sites/o365_CC_DDM/CC_DDM_D/ACUERDOS%20DE%20GESTION/2022/EVIDENCIAS%20II%20SEMESTRE%20-%202109%20A%203112/2.%20MECANISMOS%20COMUNICACION/2.3/GT?csf=1&amp;web=1&amp;e=9DkqkX</t>
  </si>
  <si>
    <t xml:space="preserve">Prestar servicios con estándares de calidad para afianzar la confianza de la población 
</t>
  </si>
  <si>
    <t>Realizar los Registros Sanitarios y Tramites asociados según las metas establecidas en el POA</t>
  </si>
  <si>
    <t xml:space="preserve">3.1 Elaborar planes de trabajo y seguimiento semanales por funcionario y contratista del Grupo de Registros Sanitarios </t>
  </si>
  <si>
    <t xml:space="preserve">
La gestión de trámites de registros sanitarios nuevos, renovaciones, modificaciones automáticas, revisiones de oficio, autorizaciones de publicidad y otros trámites asociados (certificados de requiere no requiere, certificados con registro, autorizaciones de agotamiento, cancelaciones y correcciones) durante el primer semestre del 2022 fue de 4.439 tramites gestionados, donde el dato más representativo es la expedición de las modificaciones automáticas con un acumulado de 2.388 actos  administrativos. Es importante señalar que, durante este primer semestre, la gestión se vio afectada como consecuencia del ciberataque, razón por la cual durante el mes de febrero solo fue posible gestionar 125 trámites. Posteriormente, y a medida que se fueron restableciendo las herramientas tecnológicas y recuperando la información se fue  equilibrando la productividad. LA meta prevista para este año corresponde a 20336, lo cual representa una gestión de 21,82%.
Como apoyo para lograr esta gestión se realizaron 539 planes de trabajo, que fueron enviados a los profesionales  semanalmente priorizando los trámites automaticos nuevos . Se remite por correo electronico a los profesionales durante la semana los trámites que se encuentran en paso de impresion y complementar, lo anterior para realizar una gestion de pasos mas rapida y se pueda finalizar el trámite. Se estructuran 126 planes de trabajo para la gestión de las modificaciones automaticas para el grupo compuesto por 7 profesionales exclusivamente para la expedición de dichos trámites. Adicionalmente se tienen grupos por especialidades para la gestión de los controles posteriores. Durante este semestre y debido al ciberataque no fue posible realizar la gestion de controles posteriores debido a la dificultad del acceso a la información en el sesuite. 
Se envió a traves de correo electronico los lineamientos para la gestion de las solicitudes de registros sanitarios y trámites asociados relacionados con el certificado de venta libre( CVL), medidas administrativas transitorias que se tomaron por el ciberataque, respuestas a los derechos de petición, los terminos para dar respuesta a los derechos de petición,terminos para dar respuesta a los autos, oficios de requerimiento durante la suspención de términos, lineamientos de reporte diario, dispositivos medicos sobre medida bucal  , circular anexo al expediente No. 100-003-22 . Se trabajo en guias de evaluación de tecnologias en salud con el fin de unificar criterios en la evaluación tecnica : -Guia para ayudas para la movilidad.
-Guia para apositos 
-Guia camas y camillas quirurgicas 
-Guia de dispositivos medicos combinados
-Guia de equipos rayoz x
-Guia Implantes cardiovascular 
-Guia instrumental quirurgico 
-Guia material de ostheosinthesis
-guia de rellenos dermicos  de uso estetico
-Guia de ventiladores mecanicos 
- Guia de RUO 
-Guia  para la expedición y Renovación de registro sanitario con estudio previo reactivos de diagnostico in vitro categoria III
Debido al ciberataque, y a la suspensión de trámites, se fueron habilitando semanalmente un grupo de trámites con fundamento en la capacidad instalada institucional basada en el funcionamiento de los aplicativos y demás herramientas de gestión.  Algunos trámites se  expidieron de forma manual , sin dejar de realizar los seguimientos semanales. Una vez se levantó la medida transitoria de suspensión de términos, a partir del 1 de abril de 2022, todos los trámites quedaron habilitados y se empezó a trabajar en conjunto con la Dirección General en un plan de contingencia con el fin de gestionar en el menor tiempo posible aquellos trámites en cola (822 trámites) que fueron quedando pendientes por el ciberataque. Es así como se estableció en un plazo de 9 semanas realizar semanalmente un plan de trabajo integral y un seguimiento semanal a realizar por parte de Dirección General. Desde entonces, se han venido desarrollando dichas reuniones.
OPORTUNIDAD DE MEJORA: Las medidas se encuentran formuladas y contenidas en el plan de contingencia adoptado por el Instituto cuyo cumplimiento depende del restablecimiento de todas las funciones del aplicativo de registros sanitarios, y del gestor documental, de la revisión de las metas propuestas; accesos de información que dependen de los tiempos de la Of de Tecnlogía de la Información.</t>
  </si>
  <si>
    <t xml:space="preserve">3.1. Se elaboraron durante el periodo del  21 de septimbre al 31 de dciiemrbe de 2022, 457 planes de trabajo personalizados resaltando la prioridad de los radicados automaticos: nuevos,  renovaciones, modificaciones, seguidos de los previos como son las respuestas de auto, respuestas oficios de requerimiento, levantamiento de Suspenciones, recursos  y los previos nuevos, autorizaciones de agotamiento, autorizaciones de equipo biomedico usado y repotenciado, correcciones, certificados de no obligatoriedad ,  los registros sanitarios, renovaciones de la vigencia 2022, encontrándose dentro de los términos de la norma. Es de mencionar que a partir del 3 de octubre que el invima fue victima de un ciberataque, se suspendieron términos hasta el 31 de octubre y por tanto se  realizaron planes de trabajo manuales con el fin de seguir revisando por la carpeta compartida los radicados que se podían visualizar y realizar el estudio de los radicados para cuando se restableciera los aplicativos estos se gestionaran y pasaran por el aplicativo de registros sanitarios, el cual a partir del 1 de noviembre de 2022 se levantaron términos no teniendo al 100 %  las herramientas tecnológicas. </t>
  </si>
  <si>
    <t xml:space="preserve">Se evidencia 457 planes de trabajo personalizados  que evidencia la estructura para priorizar el estudio de los trámites y lograr gestionar oportunamente. </t>
  </si>
  <si>
    <t>https://invimagovco.sharepoint.com/sites/o365_CC_DDM/CC_DDM_D/Forms/AllItems.aspx?id=%2Fsites%2Fo365%5FCC%5FDDM%2FCC%5FDDM%5FD%2FACUERDOS%20DE%20GESTION%2F2022%2FEVIDENCIAS%20II%20SEMESTRE%20%2D%202109%20A%203112%2F3%2E%20REGISTROS%20SANITARIOS&amp;viewid=e8a78d4d%2D2054%2D4344%2D8647%2D176dec0d318a</t>
  </si>
  <si>
    <t xml:space="preserve">3.2 Realizar seguimientos intermedios a los planes de trabajo de los funcionarios y contratistas especialmente con los pasos de impresión y complementar  </t>
  </si>
  <si>
    <t xml:space="preserve">3.2 Se realizan seguimientos intermedios semanales mediante envio de 18 correos electrónicos  (distribuidos en los siguientes meses: 3 correos en septiembre, 8 correos de noviembre y 7 correos de diciembre del 2022) a cada uno de los profesionales del grupo de registros sanitarios para gestionar los radicados que cada uno tenga en los pasos de impresión y complementar. </t>
  </si>
  <si>
    <t xml:space="preserve">Se evidencia con el envio de 18 correos a los profesionales del grupo de registros sanitarios para priorizar los trámites que se encuentran en pasos de impresión y complementar, lo anterior para agilizar la generacion, firma y notificación del acto administrativo. </t>
  </si>
  <si>
    <t xml:space="preserve">3.3 Establecer grupos de trabajo y planes de trabajo específicos para el estudio de los controles posteriores y las modificaciones automáticas </t>
  </si>
  <si>
    <t xml:space="preserve">3.3. Se elaboraron durante el periodo del 21-09-2022 al 31-12-2022, 457 planes de trabajo de controles posteriores, personalizados dejando como prioridad los radicados de respuestas de auto, levantamientos de suspension , recursos de reposicion, de controles posteriores de la vigencia 2022, y estudio de los controles posteriores de las vigencias 2022- 2021-2018-2017-2016. </t>
  </si>
  <si>
    <t xml:space="preserve">Se evidencia  457 planes de trabajo personalizados donde se incluyeron el estudio de los controles posteriores de registros sanitarios, renovaciones y modificaciones automaticas emitidas para ser gestionadas por los profesionales del grupo de registros sanitarios, </t>
  </si>
  <si>
    <t>3.4 Unificar los criterios de evaluación de registros sanitarios nuevos y trámites asociados con los lideres de los grupos a traves de capacitaciones y/o entrenamientos, elaboración de guías  y correos electronicos</t>
  </si>
  <si>
    <t xml:space="preserve">3.4. Se han remitido por correo lineamientos para la evaluación de los productos objeto competencia de la Dirección de Dispositivos medicos y Otras Tecnologias, lo anterior con el fin de unificar criterios para su evaluación sobre ACLARACION DEL CONCEPTO DE NEVERAS,REFRIGERADORES, CONGELADORES y ULTRACONGELADORES; Formato de cómo realizar las solicitudes a la Sala Especializada sobre los certificados de No obligatoriedad, canales de comunicación actualizados debido al ciberataque sufrido el pasado 3 de octubre de 2022, respuesta sobre comodato, autorizaciones de publicidad aprobadas mediante acto administrativo, muestras gratis, socialización la Resolución 2022600000 del 4 de octubre de 2022 " Por medio de la cual se adoptan medidas administrativas transitorias necesarias para garantizar la continuidad en la prestación de los servicios y trámites a cargo del Instituto Nacional de Vigilancia de Medicamentos y Alimentos Invima. El cual establece en su parte resolutiva: “(…), Socialización del acta 1 de fecha 15 de diciembre de 2022 SALA CONJUNTA  ESPECIALIZADA EXTRAORDINARIA CONJUNTA DE DISPOSITIVOS MÉDICOS Y REACTIVOS DE DIAGNÓSTICO IN VITRO Y MOLÉCULAS NUEVAS, NUEVAS INDICACIONES Y MEDICAMENTOS BIOLÓGICOS 
Artículo 1. Suspención de Términos. Suspender términos legales en los trámites, procesos y actuaciones especificados en la presente resolución, desde el 4 de octubre hasta el 31 de octubre de 2022, inclusive”. 
Prestadores de servicios de salud como importadores, motivación de los derechos de petición que se quedaron antes del ciberataque y va a salir la respuesta, texto para las consideraciones del despacho en solicitudes de agotamiento por vencimiento del registro sanitario por el ataque cibernético	 
</t>
  </si>
  <si>
    <t xml:space="preserve">Se evidencia el envio de correos sobre lineamientos para la evaluacion de las solicitudes de registros sanitarios y trámites asociados  a los profesionales del grupo de registros sanitarios. </t>
  </si>
  <si>
    <t>Prestar servicios con estándares de calidad para afianzar la confianza de la población</t>
  </si>
  <si>
    <t xml:space="preserve">"Cumplir con el número de visitas de certificacion de establecimientos fabricantes e importadores de dispositivos médicos y reactivos de diagnostico in vitro segun las metas establecidas en el POA"
</t>
  </si>
  <si>
    <t xml:space="preserve">4.1 Realizar reuniones de trabajo para unificacion de criterios con los auditores del Grupo Técnico de la Dirección de Dispositivos Médicos </t>
  </si>
  <si>
    <t xml:space="preserve">
Con respecto a la ejecución de visitas con propósito de certificación, durante el primer semestre del año, se ejecutaron un total de 333 visitas, de las cuales el 65.5% (218) se realizaron en la modalidad virtual, el 28.8% (96) de manera presencial en la ciudad de Bogotá y alrededores y el restante 5.7% (19) a nivel nacional, es decir que se requirió de presupuesto de tiquetes y viáticos. 
La distribución por tipo de certificación fue la siguiente:
*Recertificación de CCAA de Dispositivos Médicos: 57
*Recertificación de CCAA de Reactivos de Diagnóstico In vitro: 1
*Recertificación de Capacidad de Producción Salud Visual y Ocular: 5
* Recertificación de Apertura y funcionamiento de Tecnología Ortopédica: 7
 *Certificación de CCAA de Dispositivos Médicos: 139
*Certificación de CCAA de Reactivos de Diagnóstico In Vitro: 13
*Certificación de Condiciones Sanitarias de Dispositivos Médicos: 27
*Certificación de Condiciones Sanitarias de Reactivos de Diagnóstico In Vitro: 2
*Certificación de Capacidad de Producción de Salud Visual y Ocular: 1
*Certificación de Apertura y funcionamiento de Tecnología Ortopédica: 4
*Verificación de Requerimientos: 75
*Definición de Congelamiento: 2
Finalizado este periodo se obtiene un porcentaje de avance del 51% de la meta establecida para la vigencia 2022 (497).
4.1. Durante el primer semestre del año 2022, se han realizado un total de 11 reuniones del Grupo Técnico, donde se han fortalecido temas técnicos para la realización de las actividades, se han unificado criterios, se dieron lineamientos frente al ciberataque, entre otros: 
*21/02/2022: Capacitación en Reactivovigilancia, con el objetivo de fortalecer los conocimientos del equipo auditor del Grupo Técnico en visitas de certificación a establecimientos que importen o fabriquen Reactivos de Diagnóstico In Vitro.
*21/02/2022: Lineamientos frente al reporte diario de actividades por el ciberataque.
*21/02/2022: Reunión sobre validación y calibración, con el objetivo de unificar criterios y fortalecer los conocimientos del equipo auditor del Grupo Técnico.
*01/03/2022: Lineamientos para el correcto diligenciamiento de las bases de datos del Grupo Técnico.
*03/03/2022: Reunión sobre lineamientos para el proceso de acompañamiento de visitas de certificación del Grupo Técnico.
*03/03/2022: Reunión sobre la reglamentación de Dispositivos Médicos sobre medida bucal.
*03/03/2022: Aclaración de dudas sobre el correcto diligenciamiento de las bases de datos del Grupo Técnico.
*10/03/2022: Reunión sobre investigación clínica de Dispositivos Médicos.
*17/03/2022: Requisitos y proceso para la importación de Dispositivos Médicos.
*03/03/2022: Proceso para la gestión de trámites de Recurso Humano y Vitales No Disponibles en el marco del ciberataque.
*27/04/2022: Unificación de criterios temas varios.
4.2. Durante el primer semestre, se publicó el documento "GUÍA PARA RADICAR SOLICITUDES DE VISITAS DE CERTIFICACIÓN O RECERTIFICACIÓN PARA IMPORTADORES Y FABRICANTES DE DISPOSITIVOS MÉDICOS (ESTÁNDAR Y SOBRE MEDIDA) Y REACTIVOS DE DIAGNÓSTICO IN VITRO", en la página Web del Invima, con el propósito de orientar a los usuarios, el procedimiento, los documentos, las tarifas y las rutas para realizar de manera más ágil y efectiva la radicación de una visita de certificación ante el Grupo Técnico de la Dirección de Dispositivos Médicos y Otras Tecnologías.
Así mismo, se publicó en las redes sociales del Invima un comunicado donde se informa a los usuarios acerca de la creación del “FORMATO DE INSCRIPCIÓN PARA ESTABLECIMIENTOS QUE FABRICAN DISPOSITIVOS MÉDICOS SOBRE MEDIDA BUCAL”, como una de las actividades de implementación de la Resolución 0214 de 2022.
4.3. Con respecto a la implementación de la Resolución 0214 de 2022, “Por la cual se establecen los requisitos sanitarios que deben cumplir los dispositivos médicos sobre medida bucal y los establecimientos que los fabrican, reparan, dispensan y adaptan, y se adoptan las guías de verificación”, se han desarrollado documentos tales como: 
*Solicitudes de conceptos a la Oficina Asesora Jurídica con respecto al procedimiento para visitas de certificación y recertificación, así como para la creación de tarifas.
*Creación de formato de inscripción de establecimientos que fabrican, reparan y adaptan dispositivos médicos de salud bucal.
* Solicitudes para la realización de un curso de entrenamiento en los procesos para la fabrican, reparan y adaptan dispositivos médicos de salud bucal, con el fin de fortalecer las capacidades de los auditores del Grupo Técnico.
*Guías de verificación para la realización de visitas de certificación de apertura y funcionamiento de los establecimientos que fabrican, reparan y adaptan dispositivos médicos de salud bucal. Para el segundo semestre se incluirán las tarifas en el manual tarifario y se iniciará a realizar las visitas de certificación.
</t>
  </si>
  <si>
    <t>4.1. El día 23/11/2022, se realizó reunión de grupo con el fin de unificar criterios asociados a visitas de certificación, en esta actividad se abordaron temas tales como: división de muelles para las áreas de almacenamiento, área de acondicionamiento, ampliación de líneas por capacidad instalada en áreas, entre otros.
De otra parte, durante el periodo comprendido entre el 01/07/2022 y el 31/12/2022, se ejecutaron un total de 327 visitas con propósito de certificación, de las cuales el 18% (59) se realizaron en la modalidad virtual, el 48% (156) de manera presencial en la ciudad de Bogotá y el restante 34% (112) a nivel nacional, es decir que se requirió de presupuesto de tiquetes y viáticos.
La distribución por tipo de certificación fue la siguiente:
*Recertificación de CCAA de Dispositivos Médicos: 58
*Recertificación de CCAA de Reactivos de Diagnóstico In Vitro: 10
*Recertificación de Capacidad de Producción Salud Visual y Ocular: 2
* Recertificación de Apertura y funcionamiento de Tecnología Ortopédica: 10
 *Certificación de CCAA de Dispositivos Médicos: 104
*Certificación de CCAA de Reactivos de Diagnóstico In Vitro: 11
*Certificación de Condiciones Sanitarias de Dispositivos Médicos: 21
*Certificación de Condiciones Sanitarias de Reactivos de Diagnóstico In Vitro: 2
*Certificación de Apertura y funcionamiento de Tecnología Ortopédica: 12
* Certificación de Capacidad de Producción Salud Visual y Ocular: 8
*Verificación de Requerimientos: 89
Se destaca que la meta POA planteada para esta actividad para la vigencia 2022 fue cumplida en un 102%</t>
  </si>
  <si>
    <t>*Listado de asistencia, grabación de la reunión y acta de la unificación de criterios del Grupo Técnico realizada el día 23/11/2022
*Base de datos de programación del Grupo Técnico de visitas de certificación realizadas durante el II semestre del año 2022.</t>
  </si>
  <si>
    <r>
      <rPr>
        <sz val="11"/>
        <rFont val="Calibri"/>
        <family val="2"/>
        <scheme val="minor"/>
      </rPr>
      <t>Grupo Técnico:</t>
    </r>
    <r>
      <rPr>
        <u/>
        <sz val="11"/>
        <color theme="10"/>
        <rFont val="Calibri"/>
        <family val="2"/>
        <scheme val="minor"/>
      </rPr>
      <t xml:space="preserve">
https://invimagovco.sharepoint.com/:f:/r/sites/o365_CC_DDM/CC_DDM_D/ACUERDOS%20DE%20GESTION/2022/EVIDENCIAS%20II%20SEMESTRE%20-%202109%20A%203112/4.%20VISITAS%20CERTIFICACION/4.1?csf=1&amp;web=1&amp;e=bnoC9L</t>
    </r>
  </si>
  <si>
    <t>4.2 Elaboración y actualización de documentos técnicos y/o legales que respalden o mejoren la gestión</t>
  </si>
  <si>
    <t xml:space="preserve">4.2. Durante el periodo evaluado el Grupo Técnico elaboró o actualizó los siguientes documentos como apoyo a la ejecución de visitas de certificación:
Salud Bucal:
*GUÍA DE PROCEDIMIENTO PARA CERTIFICACIÓN Y RECERTIFICACIÓN DE AUTORIZACIÓN DE APERTURA Y FUNCIONAMIENTO DE ESTABLECIMIENTOS QUE FABRICAN Y/O REPARAN DISPOSITIVOS MÉDICOS SOBRE MEDIDA BUCAL (ASS-AYC-GU22, V. 26/10/2022)
  *FORMATO SOLICITUD DE TRÁMITES (visitas, certificaciones y certificados) (ASS-AYC-FM033, V. 26/10/2022), Se incluyen las certificaciones de Dispositivos Médicos sobre medida bucal.
  *LISTA CHEQUEO SOLICITUD DE VISITAS DE CERTIFICACIÓN DE DISPOSITIVOS MÉDICOS SOBRE MEDIDA - APERTURA Y FUNCIONAMIENTO (ASS-AYC-FM103. V. 26/10/2022), se incluyen los requisitos para solicitar las certificaciones de Dispositivos Médicos sobre medida bucal.
  *LISTA DE VERIFICACIÓN DE REQUISITOS PARA APERTURA Y FUNCIONAMIENTO DE ESTABLECIMIENTOS DE DISPOSITIVOS MÉDICOS SOBRE MEDIDA BUCAL (ASS-AYC-FM141, V. 25/11/2022), documento dirigido a los usuarios para la preparación de la visitas de certificación.
  *Comunicado de interés"Implementación de la Resolución 214 de 2022 para Dispositivos Médicos sobre medida bucal", donde se indica a los usuarios el proceso para la solicitud de visitas de certificación y recertificación de estos productos, así como los requisitos, tiempos, formatos y tarifas.
*Procedimiento de Auditorías y Certificaciones (ASS-AYC-PR001), Se incluyó lo relacionado con las nuevas certificaciones de Salud Bucal.
Otros documentos:
*ACTA DE VISITA DE CERTIFICACION EN CCAA DE REACTIVOS IN VITRO Y/O DE DIAGNÓSTICO IN VITRO (ASS-AYC-FM083, V. 18/12/2022)
*LISTA DE VERIFICACION DE REQUISITOS PARA CERTIFICACION EN CCAA DE REACTIVOS IN VITRO Y DE DIAGNÓSTICO IN-VITRO (ASS-AYC-FM084, V. 18/12/2022)
*FORMATO ACTA DE VISITA DE VERIFICACION DE REQUERIMIENTOS PARA CERTIFICACION EN APERTURA Y FUNCIONAMIENTO DE TECNOLOGÍA ORTOPEDICA EXTERNA (ASS-AYC-FM139, V. 02/11/2022), documento nuevo para visitas de Tecnología Ortopédica.
*FORMATO DE ACTA DE VISITA DE VERIFICACION DE REQUISITOS PARA CERTIFICACION EN CCAA (ASS-AYC-FM082, V. 22/09/2022)
*FORMATO ACTA DE VISITA DE CERTIFICACION DE APERTURA Y FUNCIONAMIENTO DE ESTABLECIMIENTOS DE DISPOSITIVOS MÉDICOS SOBRE MEDIDA DE TECNOLOGÍA ORTOPÉDICA EXTERNA (ASS-AYC-FM096, V. 22/09/2022)
*FORMATO ACTA DE VISITA CAPACIDAD DE PRODUCCION DISPOSITIVOS MÉDICOS SOBRE MEDIDA DE SALUD VISUAL Y OCULAR (ASS-AYC-FM109)
*ACTA DE VISITA DE CONDICIONES SANITARIAS DE DISPOSITIVOS MÉDICOS (ASS-AYC-FM111, V. 22/09/2022)
*ACTA DE VISITA DE CONDICIONES SANITARIAS DE REACTIVOS DE DIAGNÓSTICO IN VITRO (ASS-AYC-FM129, V. 22/09/2022)
*FORMATO ACTA DE VISITA DE VERIFICACION DE REQUERIMIENTOS PARA CERTIFICACION EN CONDICIONES SANITARIAS (ASS-AYC-FM131, V. 22/09/2022)
</t>
  </si>
  <si>
    <t>Para Salud Bucal:
Copia de los documentos controlados por el Sistema de Gestión Integrado en sus últimas versiones de publicación.
*GUÍA DE PROCEDIMIENTO PARA CERTIFICACIÓN Y RECERTIFICACIÓN DE AUTORIZACIÓN DE APERTURA Y FUNCIONAMIENTO DE ESTABLECIMIENTOS QUE FABRICAN Y/O REPARAN DISPOSITIVOS MÉDICOS SOBRE MEDIDA BUCAL (ASS-AYC-GU22, V. 26/10/2022)
  *FORMATO SOLICITUD DE TRÁMITES (visitas, certificaciones y certificados) (ASS-AYC-FM033, V. 26/10/2022)
  *LISTA CHEQUEO SOLICITUD DE VISITAS DE CERTIFICACIÓN DE DISPOSITIVOS MÉDICOS SOBRE MEDIDA - APERTURA Y FUNCIONAMIENTO (ASS-AYC-FM103. V. 26/10/2022)
  *LISTA DE VERIFICACIÓN DE REQUISITOS PARA APERTURA Y FUNCIONAMIENTO DE ESTABLECIMIENTOS DE DISPOSITIVOS MÉDICOS SOBRE MEDIDA BUCAL (ASS-AYC-FM141, V. 25/11/2022)
  * Copia del Comunicado de interés" Implementación de la Resolución 214 de 2022 para Dispositivos Médicos sobre medida bucal"
Otros documentos publicados:
*ACTA DE VISITA DE CERTIFICACION EN CCAA DE REACTIVOS IN VITRO Y/O DE DIAGNÓSTICO IN VITRO (ASS-AYC-FM083, V. 18/12/2022)
*LISTA DE VERIFICACION DE REQUISITOS PARA CERTIFICACION EN CCAA DE REACTIVOS IN VITRO Y DE DIAGNÓSTICO IN-VITRO (ASS-AYC-FM084, V. 18/12/2022)
*FORMATO ACTA DE VISITA DE VERIFICACION DE REQUERIMIENTOS PARA CERTIFICACION EN APERTURA Y FUNCIONAMIENTO DE TECNOLOGÍA ORTOPEDICA EXTERNA (ASS-AYC-FM139, V. 02/11/2022)
*FORMATO DE ACTA DE VISITA DE VERIFICACION DE REQUISITOS PARA CERTIFICACION EN CCAA (ASS-AYC-FM082, V. 22/09/2022)
*FORMATO ACTA DE VISITA DE CERTIFICACION DE APERTURA Y FUNCIONAMIENTO DE ESTABLECIMIENTOS DE DISPOSITIVOS MÉDICOS SOBRE MEDIDA DE TECNOLOGÍA ORTOPÉDICA EXTERNA (ASS-AYC-FM096, V. 22/09/2022)</t>
  </si>
  <si>
    <r>
      <rPr>
        <sz val="20"/>
        <rFont val="Calibri"/>
        <family val="2"/>
        <scheme val="minor"/>
      </rPr>
      <t>Grupo Técnico:</t>
    </r>
    <r>
      <rPr>
        <u/>
        <sz val="20"/>
        <color theme="10"/>
        <rFont val="Calibri"/>
        <family val="2"/>
        <scheme val="minor"/>
      </rPr>
      <t xml:space="preserve">
https://invimagovco.sharepoint.com/:f:/r/sites/o365_CC_DDM/CC_DDM_D/ACUERDOS%20DE%20GESTION/2022/EVIDENCIAS%20II%20SEMESTRE%20-%202109%20A%203112/4.%20VISITAS%20CERTIFICACION/4.2?csf=1&amp;web=1&amp;e=P7Pj9U</t>
    </r>
  </si>
  <si>
    <t>4.3 Implementar la normatividad aplicable a Dispositivos Médicos sobre medida de Salud Bucal</t>
  </si>
  <si>
    <t>4.3. Durante este periodo se continúo con las actividades propias para la implementación de la nueva normatividad de dispositivos médicos de salud bucal (Res. 214/2022), entre las cuales se encuentran la elaboración y publicación de formatos, procedimiento, comunicado de interés, entrenamiento de los auditores para la ejecución de estas visitas, así como la actualización del manual tarifario que actualmente incluye las tarifas 4200-4, 4200-5 y 4200-6; es importante destacar que a la fecha ya se encuentra disponible todo lo necesario para que los usuarios soliciten las visitas y por parte del Invima todos los recursos para su ejecución.</t>
  </si>
  <si>
    <t>*FORMATO SOLICITUD DE TRÁMITES (visitas, certificaciones y certificados) (ASS-AYC-FM033, V. 26/10/2022)
  *LISTA CHEQUEO SOLICITUD DE VISITAS DE CERTIFICACIÓN DE DISPOSITIVOS MÉDICOS SOBRE MEDIDA - APERTURA Y FUNCIONAMIENTO (ASS-AYC-FM103. V. 26/10/2022)
  *LISTA DE VERIFICACIÓN DE REQUISITOS PARA APERTURA Y FUNCIONAMIENTO DE ESTABLECIMIENTOS DE DISPOSITIVOS MÉDICOS SOBRE MEDIDA BUCAL (ASS-AYC-FM141, V. 25/11/2022)
*Procedimiento de Auditorías y Certificaciones (ASS-AYC-PR001, V. 27/10/2022)
* Copia del Comunicado de interés" Implementación de la Resolución 214 de 2022 para Dispositivos Médicos sobre medida bucal"
*Copia del manual tarifario 2023, donde se incluyen las tarifas de Salud Bucal
*GUÍA DE PROCEDIMIENTO PARA CERTIFICACIÓN Y RECERTIFICACIÓN DE AUTORIZACIÓN DE APERTURA Y FUNCIONAMIENTO DE ESTABLECIMIENTOS QUE FABRICAN Y/O REPARAN DISPOSITIVOS MÉDICOS SOBRE MEDIDA BUCAL (ASS-AYC-GU22, V. 26/10/2022)
*Copia del certificado del entrenamiento realizado para ejecutar visitas de Salud Bucal (expedido por el SENA)</t>
  </si>
  <si>
    <r>
      <rPr>
        <sz val="20"/>
        <rFont val="Calibri"/>
        <family val="2"/>
        <scheme val="minor"/>
      </rPr>
      <t>Grupo Técnico:</t>
    </r>
    <r>
      <rPr>
        <u/>
        <sz val="20"/>
        <color theme="10"/>
        <rFont val="Calibri"/>
        <family val="2"/>
        <scheme val="minor"/>
      </rPr>
      <t xml:space="preserve">
https://invimagovco.sharepoint.com/:f:/r/sites/o365_CC_DDM/CC_DDM_D/ACUERDOS%20DE%20GESTION/2022/EVIDENCIAS%20II%20SEMESTRE%20-%202109%20A%203112/4.%20VISITAS%20CERTIFICACION/4.3?csf=1&amp;web=1&amp;e=iRGTC5</t>
    </r>
  </si>
  <si>
    <t xml:space="preserve">Concertacion para el desempeño sobresaliente (5% adicional. Describir los compromisos gerenciales adicionales) </t>
  </si>
  <si>
    <t xml:space="preserve">Contribuir a la mejora continua del estatus sanitario del país mediante el fortalecimiento de la inspección, vigilancia  y control sanitario con enfoque de riesgo garantizando la protección de la salud de los colombianos y el reconocimiento nacional e internacional.
</t>
  </si>
  <si>
    <t>Crear la estructura documental del nuevo Grupo de Investigación de Clinica y Comisión Revisora de Dispositivos Médicos y Reactivos de Diagnostico In Vitro</t>
  </si>
  <si>
    <t>a1. Presentación al Consejo Directivo del Proyecto de Creación del Grupo de Investigación Clínica y Apoyo a la Comisión Revisora</t>
  </si>
  <si>
    <r>
      <rPr>
        <b/>
        <sz val="16"/>
        <color rgb="FF000000"/>
        <rFont val="Arial"/>
        <family val="2"/>
      </rPr>
      <t xml:space="preserve">DESCRIPCIÓN DEL AVANCE:
a1. </t>
    </r>
    <r>
      <rPr>
        <sz val="16"/>
        <color rgb="FF000000"/>
        <rFont val="Arial"/>
        <family val="2"/>
      </rPr>
      <t xml:space="preserve">Se realizó la presentación y documento ejecutivo creación del grupo, referenciación nacional e internacional, análisis de cargas del grupo de IC, definición de actividades y funciones del grupo, solicitud de conceptos a oficina asesora jurídica sobre competencias y 18 fichas de tarifas asociadas a actividades del grupo.
</t>
    </r>
    <r>
      <rPr>
        <b/>
        <sz val="16"/>
        <color rgb="FF000000"/>
        <rFont val="Arial"/>
        <family val="2"/>
      </rPr>
      <t xml:space="preserve">
a2. </t>
    </r>
    <r>
      <rPr>
        <sz val="16"/>
        <color rgb="FF000000"/>
        <rFont val="Arial"/>
        <family val="2"/>
      </rPr>
      <t xml:space="preserve">Se realizó la referenciación y consolidación de las guías, instructivos, formatos y procedimientos relacionados con la investigación clínica con medicamentos de DMPB (140 documentos) e inventario de los documentos equivalentes en investigación clínica con DMRDIV. Como resultado de esta revisión, se han propuesto los siguientes (7) documentos:
1* PROPUESTA AJUSTE_ASS-RSA-FM082_CONCEPTO RDI CATEGORIA III
2* PROPUESTA AJUSTE_ASS-RSA-FM083_PROTOCOLOS CON RDIV
3* PROPUESTA AJUSTE_EVALUACIÓN PRODUCTO CONSIDERADO DISPOSTIVO MÉDICO
4* PROPUESTA GUIA PRESENTACION DE PROTOCOLOS
5* PROPUESTA_FORMATO EVALUACIÓN COMITÉ ÉTICA
6* PROPUESTA_GUÍA RADICACIÓN PROTOCOLOS DMRDIV
7* PROUESTA AJUSTE_ASS-RSA-FM085_PROTOCOLOS DM
</t>
    </r>
    <r>
      <rPr>
        <b/>
        <sz val="16"/>
        <color rgb="FF000000"/>
        <rFont val="Arial"/>
        <family val="2"/>
      </rPr>
      <t xml:space="preserve">
a3. </t>
    </r>
    <r>
      <rPr>
        <sz val="16"/>
        <color rgb="FF000000"/>
        <rFont val="Arial"/>
        <family val="2"/>
      </rPr>
      <t xml:space="preserve">Se han realizado 17 reuniones de las mesas técnicas:
MESA TECNICA HABLEMOS DE IC DMRDIV_30032022
MESA TECNICA MINSALUD-INVIMA-STANDARSALLIANCE: 16 reuniones. Desarrollo para la evaluación ExAnte de la investigación clínica con DMRDIV.
</t>
    </r>
    <r>
      <rPr>
        <b/>
        <sz val="16"/>
        <color rgb="FF000000"/>
        <rFont val="Arial"/>
        <family val="2"/>
      </rPr>
      <t xml:space="preserve">
a4. </t>
    </r>
    <r>
      <rPr>
        <sz val="16"/>
        <color rgb="FF000000"/>
        <rFont val="Arial"/>
        <family val="2"/>
      </rPr>
      <t xml:space="preserve">Se revisaron los conceptos técnicos de las 86 actas publicadas por la Sala Especializada de insumos para la Salud y Productos varios, la Sala Especializada de Reactivos de Diagnóstico In Vitro y la Sala Especializada de Dispositivos Médicos y Reactivos de Diagnóstico In vitro, del periodo enero 2017 a Junio de 2022 identificando la evaluación de 87 ensayos clínicos (69 con DM y 30 con RDIV). Para conocer la caracterización global de los estudios evaluados se incluye en el “Inventario EC DM RDIV año 2017 a Junio 2022” el listado de los ensayos clínicos con el nombre del protocolo, el año, el concepto (aprobado o no) la especialidad y si se trata de un DM o RDIV con las proporciones de aceptación, tipo de tecnología. Encontraran en la subcarpeta del a4 los siguientes archivos:
1* Inventario EC DM RDIV año 2017 a Junio 2022.xlsx
2* ESTUDIOS CLINICOS_COMITES ETICA_DM 2012-2021
3* Actas conceptos sala especializada DMRDIV
</t>
    </r>
    <r>
      <rPr>
        <b/>
        <sz val="16"/>
        <color rgb="FF000000"/>
        <rFont val="Arial"/>
        <family val="2"/>
      </rPr>
      <t xml:space="preserve">
OPORTUNIDADES DE MEJORA</t>
    </r>
    <r>
      <rPr>
        <sz val="16"/>
        <color rgb="FF000000"/>
        <rFont val="Arial"/>
        <family val="2"/>
      </rPr>
      <t xml:space="preserve">:
</t>
    </r>
    <r>
      <rPr>
        <b/>
        <sz val="16"/>
        <color rgb="FF000000"/>
        <rFont val="Arial"/>
        <family val="2"/>
      </rPr>
      <t>a1.</t>
    </r>
    <r>
      <rPr>
        <sz val="16"/>
        <color rgb="FF000000"/>
        <rFont val="Arial"/>
        <family val="2"/>
      </rPr>
      <t xml:space="preserve"> Solicitar reunión de presentación con el consejo directivo del Instituto, una vez se modifique la Resolución de Grupos Internos del Invima.
</t>
    </r>
    <r>
      <rPr>
        <b/>
        <sz val="16"/>
        <color rgb="FF000000"/>
        <rFont val="Arial"/>
        <family val="2"/>
      </rPr>
      <t>a2</t>
    </r>
    <r>
      <rPr>
        <sz val="16"/>
        <color rgb="FF000000"/>
        <rFont val="Arial"/>
        <family val="2"/>
      </rPr>
      <t xml:space="preserve">. Seguir avanzando en el desarrollo de los procedimientos y formatos relacionados con la investigación clínica de DMRDIV
</t>
    </r>
    <r>
      <rPr>
        <b/>
        <sz val="16"/>
        <color rgb="FF000000"/>
        <rFont val="Arial"/>
        <family val="2"/>
      </rPr>
      <t>a3</t>
    </r>
    <r>
      <rPr>
        <sz val="16"/>
        <color rgb="FF000000"/>
        <rFont val="Arial"/>
        <family val="2"/>
      </rPr>
      <t xml:space="preserve">. Realizar en el segundo semestre mesas técnicas con universidades y comités de ética.
</t>
    </r>
    <r>
      <rPr>
        <b/>
        <sz val="16"/>
        <color rgb="FF000000"/>
        <rFont val="Arial"/>
        <family val="2"/>
      </rPr>
      <t>a4.</t>
    </r>
    <r>
      <rPr>
        <sz val="16"/>
        <color rgb="FF000000"/>
        <rFont val="Arial"/>
        <family val="2"/>
      </rPr>
      <t xml:space="preserve"> Validar las bases de datos existentes. Se proyecta ampliar información de cada EC identificado para caracterizar la IC con DM y RDIV en nuestro país como Insumo para la elaboración de repositorios de cada estudio para la trazabilidad.</t>
    </r>
  </si>
  <si>
    <t>a1. Se profirió la Resolución 2022035262 del 20 de septiembre de 2022, mediante la cual se creó el Grupo de Investigación Clínica y Apoyo a Sala Especializada de DMRDIV - GICASE.  Se remitieron a la Oficina de Talento Humano las 11 fichas de perfiles para el manual de funciones. Se designan 4 profesionales de carrera administrativa y 2 contratistas para la conformación del grupo.</t>
  </si>
  <si>
    <t>Carpeta FICHAS AJUSTADAS que contiene 11 atchivos
PEDDMOXXXXXX_BACT_18
PEDDMOXXXXXX_BACT_20
PEDDMOXXXXXX_ENF_18
PEDDMOXXXXXX_ESTAD_18
PEDDMOXXXXXX_ING BIOMEDICO_15
PEDDMOXXXXXX_ING BIOMEDICO_16
PEDDMOXXXXXX_ING BIOMEDICO_18
PEDDMOXXXXXX_ING BIOMEDICO_20
PEDDMOXXXXXX_MED_20
PEDDMOXXXXXX_UNIVERSITARIO_11
TODDMOXXXX_Tecnico Operativo
Dos archivos:
2022600338 del 4_11_2022_ASIAGNCIÓN GICAS
R 2022035262 GITPEDDMOXXXXXX_ING BIOMEDICO_15</t>
  </si>
  <si>
    <t>https://invimagovco.sharepoint.com/:f:/r/sites/o365_CC_DDM/CC_DDM_D/ACUERDOS%20DE%20GESTION/2022/EVIDENCIAS%20II%20SEMESTRE%20-%202109%20A%203112/ADICIONAL%20GICASE?csf=1&amp;web=1&amp;e=avM0Fj</t>
  </si>
  <si>
    <t>a2. Elaborar documentos técnicos como procedimientos, guías e instructivos necesarios para el nuevo Grupo de Investigación de Clinica y Comisión Revisora de Dispositivos Médicos y Reactivos de Diagnostico In Vitro</t>
  </si>
  <si>
    <t xml:space="preserve">Carpeta DOCUMENTOS- PROCEDIMIENTOS que contiene
ABC INVESTIGACION CLINICA CON DISPOSITIVOS MEDICOS y RDIV
ASS-RSA-FM085 nueva version borrador  10nov2022
ASS-RSA-FM085 nueva version borrador  4 NOV2022
FORMATO EVALUACIÓN COMITÉ ETICA_11_11_2022
FORMATO SOLICITUD PRODUCTO DM_RDIV
Formato_informe periodico 18nov2022
PROPUESTA GUIA PRESENTACION DE PROTOCOLOS_INVIMA
segundo borrador  guia presentacion protocolos DM
Carpeta MODULO AULA VIRTUAL que contiene
Carpeta UNIDAD 2 Contiene tres archivos: diapositiva 12, EVALUACION AULA VIRTUAL, UNIDAD 2 PARA ANGEL AULA)
MÓDULO 4
UNIDAD 1
unidad 3 DL
</t>
  </si>
  <si>
    <t>a3. Realizar mesas técnicas con el sector de investigación (universidades, centros de investigación, gremios)</t>
  </si>
  <si>
    <t xml:space="preserve">a3. Se han realizado 8 reuniones de las mesas técnicas:
MESA TECNICA de ICDMRDIV con Universidades_20102022
MESA TECNICA MINSALUD-INVIMA-STANDARSALLIANCE: 7 reuniones. Desarrollo para la evaluación ExAnte de la investigación clínica con DMRDIV. Matriz de alternativas. </t>
  </si>
  <si>
    <t xml:space="preserve">Carpeta Capacitación universidades que contiene
6 carpetas: Directorio/Grabación del webinar/Inscritos/Insumos/Presentaciones/Respuestas consultas webinar
9 archivos Agenda Capacitación IC DM_RDIV,  AGENDA WEBINAR IC DMRDIV_20 OCT 2022, Asistencia Investigación Clínica con Dispositivos Médicos y Reactivos(1-201), Dra Ximena Bonilla, Informe ejecutivo Investigación Clínica con Dispositivos Médicos y Reactivos para uso en muestras de origen humano dirigido a las Universidades 20_10_22,  invitaciones, Lista de Chequeo Capacitación Universidades, PREGUNTAS_ INVESTIGACIÓN CLÍNICA CON DM Y RDIV PARA USO EN MUESTRAS DE ORIGEN HUMANO(1-27), REACTIVOS 1 version 2
Árbol de problemas DM Final AJUSTADO_04112022, 
MATRIZ ALTERNATIVAS ICDMRDIV_24_11_2022
</t>
  </si>
  <si>
    <t>a4. Estructurar las bases de datos públicas para la consolidación de los protocolos de investigación</t>
  </si>
  <si>
    <t>a4. Actualización de bases de datos de estudios clínicos con DMRIDV, Clinical Trials,  conceptos de certificados de no obligatoriedad.</t>
  </si>
  <si>
    <t>Cuatro archivos:
Clinical Trials 13dic DMOT
CT vs EC DM RDIV año 2017 a septiembre 2022
Inventario documental investigación Clínica DM_RDIV
Inventario documental investigación Clínica medicamentos DMPB</t>
  </si>
  <si>
    <t xml:space="preserve">FECHA </t>
  </si>
  <si>
    <t xml:space="preserve">Lucia Ayala Rodriguez </t>
  </si>
  <si>
    <t>VIGENCIA</t>
  </si>
  <si>
    <t>01/01/2022 al  31/12/2022</t>
  </si>
  <si>
    <t xml:space="preserve">Firma del Superior Jerárquico </t>
  </si>
  <si>
    <t xml:space="preserve">Firma del Gerente Público </t>
  </si>
  <si>
    <t xml:space="preserve"> </t>
  </si>
  <si>
    <t>Capacitar a paises de habla hispana de la región de las Américas a traves de nuestra Aula Virtual.</t>
  </si>
  <si>
    <t>Realizar actividades de Cooperación Internacional bidireccionales con los paises de la Región de las Américas.</t>
  </si>
  <si>
    <t>Compartir con los paises de las Americas el tema de "Buenas Practicas Regulatorias" del Foro mundial de reguladores de dispositivos medicos - IMRDF en cooperacion con la Organización Panamericana de la Salud - OPS</t>
  </si>
  <si>
    <t>Plantear y desarrollar estrategias de comunicación con los diferentes actores que conlleven a un conocimiento de la gestión de la Dirección de Dispositivos Médicos dando claridad a los usuarios sobre los procesos y tiempos de oportunidad de los trámites de su competencia.</t>
  </si>
  <si>
    <t>Elaborar y divulgar documentos técnicos y legales relacionados con los productos y procesos de la Dirección de Dispositivos Médicos</t>
  </si>
  <si>
    <t>Implementar las acciones de mejora derivadas de la encuesta de satisfacción del servicio prestado por parte de Invima realizada en el 2021</t>
  </si>
  <si>
    <t xml:space="preserve">Elaborar planes de trabajo y seguimiento semanales por funcionario y contratista del Grupo de Registros Sanitarios </t>
  </si>
  <si>
    <t xml:space="preserve">Realizar seguimientos intermedios a los planes de trabajo de los funcionarios y contratistas especialmente con los pasos de impresión y complementar  </t>
  </si>
  <si>
    <t xml:space="preserve">Establecer grupos de trabajo y planes de trabajo específicos para el estudio de los controles posteriores y las modificaciones automáticas </t>
  </si>
  <si>
    <t>Unificar los criterios de evaluación de registros sanitarios nuevos y trámites asociados con los lideres de los grupos a traves de capacitaciones y/o entrenamientos, elaboración de guías  y correos electronicos</t>
  </si>
  <si>
    <t xml:space="preserve">Realizar reuniones de trabajo para unificacion de criterios con los auditores del Grupo Técnico de la Dirección de Dispositivos Médicos </t>
  </si>
  <si>
    <t>Elaboración y actualización de documentos técnicos y/o legales que respalden o mejoren la gestión</t>
  </si>
  <si>
    <t>Implementar la normatividad aplicable a Dispositivos Médicos sobre medida de Salud Bucal</t>
  </si>
  <si>
    <t>Presentación al Consejo Directivo del Proyecto de Creación del Grupo de Investigación Clínica y Apoyo a la Comisión Revisora</t>
  </si>
  <si>
    <t>Elaborar documentos técnicos como procedimientos, guías e instructivos necesarios para el nuevo Grupo de Investigación de Clinica y Comisión Revisora de Dispositivos Médicos y Reactivos de Diagnostico In Vitro</t>
  </si>
  <si>
    <t>Realizar mesas técnicas con el sector de investigación (universidades, centros de investigación, gremios)</t>
  </si>
  <si>
    <t>Estructurar las bases de datos públicas para la consolidación de los protocolos de investigación</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</si>
  <si>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</si>
  <si>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</si>
  <si>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</si>
  <si>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</si>
  <si>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</si>
  <si>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</si>
  <si>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</si>
  <si>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</si>
  <si>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</si>
  <si>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</si>
  <si>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</si>
  <si>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</si>
  <si>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</si>
  <si>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</si>
  <si>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</si>
  <si>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</si>
  <si>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</si>
  <si>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</si>
  <si>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</si>
  <si>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</si>
  <si>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</si>
  <si>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</si>
  <si>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</si>
  <si>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</si>
  <si>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</si>
  <si>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</si>
  <si>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</si>
  <si>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</si>
  <si>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</si>
  <si>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</si>
  <si>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</si>
  <si>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</si>
  <si>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</si>
  <si>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</si>
  <si>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</si>
  <si>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</si>
  <si>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</si>
  <si>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</si>
  <si>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</si>
  <si>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</si>
  <si>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</si>
  <si>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</si>
  <si>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</si>
  <si>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</si>
  <si>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</si>
  <si>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</si>
  <si>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</si>
  <si>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</si>
  <si>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</si>
  <si>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</si>
  <si>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</si>
  <si>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</si>
  <si>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</si>
  <si>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</si>
  <si>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</si>
  <si>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</si>
  <si>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</si>
  <si>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</si>
  <si>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</si>
  <si>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</si>
  <si>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</si>
  <si>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</si>
  <si>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</si>
  <si>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</si>
  <si>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</si>
  <si>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</si>
  <si>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</si>
  <si>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</si>
  <si>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Dirección de Dispositivos Médicos y Otras Tecnologías.</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</si>
  <si>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</si>
  <si>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</si>
  <si>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</si>
  <si>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</si>
  <si>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</si>
  <si>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</si>
  <si>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</si>
  <si>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</si>
  <si>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</si>
  <si>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</si>
  <si>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</si>
  <si>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</si>
  <si>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r>
      <t>2.1 Durante el periodo evaluado el Grupo Técnico de la DDMOT realizó reuniones con las siguientes asociaciones o gremios, con el propósito de aclarar temas relacionados con visitas de certificación de dispositivos médicos sobre medida: 
*Reunión el día 14/12/2022 con ACOTECOP (Asociación Colombiana de Protesistas y Ortesistas), donde se escucharon algunas inquietudes para el proceso de recertificación para la fabricación de Dispositivos Médicos de Tecnología Ortopédica y se aclararon aspectos asociados a este trámite, a esta actividad asistieron 5 personas. 
*</t>
    </r>
    <r>
      <rPr>
        <b/>
        <sz val="16"/>
        <rFont val="Arial"/>
        <family val="2"/>
      </rPr>
      <t xml:space="preserve">Divulgación de </t>
    </r>
    <r>
      <rPr>
        <sz val="16"/>
        <rFont val="Arial"/>
        <family val="2"/>
      </rPr>
      <t>la  cartilla digital para facilitar el correcto diligenciamiento de los formularios de solicitud, renovación y modificación de registros sanitarios o permisos de comercialización para dispositivos médicos y equipos biomédicos. 
*Publicación de  la circular No. 5000-0001-22 por la cual se actualiza la circular externa 500-7096-14 en cuanto a la aplicación del decreto 4725 de 2005 relacionada con los trámites de registros sanitarios. Lo anterior para dar claridad a los documentos que se deben radicar con las solicitudes de registros sanitarios , renovaciones y trámites asociados.   
*Reunión con las asociaciones de laboratorios de salud bucal, el día 14/12/2022 donde se aclararon aspectos relacionados con la implementación de la Resolución 214/2022, tanto de inscripción, tiempos y solicitud de visitas, incluido el costo de la tarifas, a esta actividad participaron 4 personas.</t>
    </r>
  </si>
  <si>
    <t>1.1. Durante el semestre del año y una vez habilitada el aula virtual se realizó el envío de la invitacion a la inscripción del curso dirigido a los participantes de REDPARF, el cual para el caso de tecnovigilancia iniciaba el 29 de septiembre hasta el 12 de octubre y reactivovigilancia cursaba del 01 a 30 de noviembre, no obstante lo anterior, aunque el curso de tecnovigilancia si dio inicio, el mismo no tuvo continuidad debido a que el Invima sufrio un segundo ciberataque el 03 de octubre, y por tanto no fue posible tener acceso al aula virtual para realizar estas capacitaciones.  Debido a la situación se habilitó la posibilidad de reabrir el proceso de la capacitación mediante webinar dirigidos a la red, sin embargo hubo una negativa por parte de OPS, quienes manifestaron que preferian que la actividad se programara para el proximo año.</t>
  </si>
  <si>
    <t>a2. Se han ajustado y actualizado los siguientes (8) documentos:
1* PROPUESTA AJUSTE_ASS-RSA-FM082_CONCEPTO RDI CATEGORIA III
2* PROPUESTA AJUSTE_ASS-RSA-FM083_PROTOCOLOS CON RDIV
3* PROPUESTA AJUSTE_EVALUACIÓN PRODUCTO CONSIDERADO DISPOSTIVO MÉDICO
4* PROPUESTA GUIA PRESENTACION DE PROTOCOLOS
5* PROPUESTA_FORMATO EVALUACIÓN COMITÉ ÉTICA
6* PROPUESTA_GUÍA RADICACIÓN PROTOCOLOS DMRDIV
7* PROUESTA AJUSTE_ASS-RSA-FM085_PROTOCOLOS DM
8*INFORME PERIODICO DE ESTUDIOS CLÍNICOS</t>
  </si>
  <si>
    <t>Francisco Augusto Giuseppe Rossi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</si>
</sst>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7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b/>
      <sz val="12"/>
      <name val="Arial"/>
      <family val="2"/>
    </font>
    <font>
      <b/>
      <sz val="16"/>
      <name val="Arial"/>
      <family val="2"/>
    </font>
    <font>
      <sz val="8"/>
      <color theme="0"/>
      <name val="Arial"/>
      <family val="2"/>
    </font>
    <font>
      <sz val="18"/>
      <color theme="1"/>
      <name val="Arial"/>
      <family val="2"/>
    </font>
    <font>
      <sz val="18"/>
      <name val="Arial"/>
      <family val="2"/>
    </font>
    <font>
      <b/>
      <sz val="20"/>
      <name val="Arial"/>
      <family val="2"/>
    </font>
    <font>
      <b/>
      <sz val="16"/>
      <color rgb="FF000000"/>
      <name val="Arial"/>
      <family val="2"/>
    </font>
    <font>
      <sz val="16"/>
      <color rgb="FF000000"/>
      <name val="Arial"/>
      <family val="2"/>
    </font>
    <font>
      <sz val="16"/>
      <color rgb="FFFF0000"/>
      <name val="Arial"/>
      <family val="2"/>
    </font>
    <font>
      <u/>
      <sz val="20"/>
      <color theme="10"/>
      <name val="Calibri"/>
      <family val="2"/>
      <scheme val="minor"/>
    </font>
    <font>
      <sz val="16"/>
      <color theme="1"/>
      <name val="Times New Roman"/>
      <family val="1"/>
    </font>
    <font>
      <sz val="11"/>
      <name val="Calibri"/>
      <family val="2"/>
      <scheme val="minor"/>
    </font>
    <font>
      <sz val="20"/>
      <name val="Calibri"/>
      <family val="2"/>
      <scheme val="minor"/>
    </font>
    <font>
      <sz val="10"/>
      <color rgb="FF000000"/>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rgb="FF6CFC99"/>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medium">
        <color rgb="FF000000"/>
      </left>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thin">
        <color auto="1"/>
      </top>
      <bottom style="medium">
        <color indexed="64"/>
      </bottom>
      <diagonal/>
    </border>
    <border>
      <left style="thin">
        <color auto="1"/>
      </left>
      <right style="medium">
        <color auto="1"/>
      </right>
      <top/>
      <bottom style="medium">
        <color indexed="64"/>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rgb="FF000000"/>
      </left>
      <right style="thin">
        <color rgb="FF000000"/>
      </right>
      <top style="thin">
        <color rgb="FF000000"/>
      </top>
      <bottom style="medium">
        <color indexed="64"/>
      </bottom>
      <diagonal/>
    </border>
    <border>
      <left style="thin">
        <color rgb="FF000000"/>
      </left>
      <right style="medium">
        <color auto="1"/>
      </right>
      <top/>
      <bottom style="medium">
        <color auto="1"/>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style="thin">
        <color auto="1"/>
      </right>
      <top/>
      <bottom style="medium">
        <color auto="1"/>
      </bottom>
      <diagonal/>
    </border>
  </borders>
  <cellStyleXfs count="14">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631">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5" fillId="7" borderId="37" xfId="0" applyFont="1" applyFill="1" applyBorder="1" applyAlignment="1">
      <alignment horizontal="center" vertical="center" wrapText="1"/>
    </xf>
    <xf numFmtId="0" fontId="45" fillId="7" borderId="37" xfId="0" applyFont="1" applyFill="1" applyBorder="1" applyAlignment="1">
      <alignment horizontal="center" vertical="center"/>
    </xf>
    <xf numFmtId="0" fontId="46" fillId="0" borderId="0" xfId="0" applyFont="1" applyProtection="1">
      <protection locked="0"/>
    </xf>
    <xf numFmtId="9" fontId="42" fillId="0" borderId="1" xfId="1" applyFont="1" applyBorder="1" applyAlignment="1" applyProtection="1">
      <alignment horizontal="center" vertical="center" wrapText="1"/>
      <protection locked="0"/>
    </xf>
    <xf numFmtId="9" fontId="47" fillId="11" borderId="57"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0" fontId="42" fillId="0" borderId="38" xfId="0" applyFont="1" applyBorder="1" applyProtection="1">
      <protection locked="0"/>
    </xf>
    <xf numFmtId="0" fontId="42" fillId="0" borderId="40" xfId="0" applyFont="1" applyBorder="1" applyProtection="1">
      <protection locked="0"/>
    </xf>
    <xf numFmtId="0" fontId="40" fillId="8" borderId="0" xfId="0" applyFont="1" applyFill="1" applyAlignment="1" applyProtection="1">
      <alignment vertical="center" wrapText="1"/>
      <protection locked="0"/>
    </xf>
    <xf numFmtId="0" fontId="40" fillId="8" borderId="46" xfId="0" applyFont="1" applyFill="1" applyBorder="1" applyAlignment="1" applyProtection="1">
      <alignment horizontal="center" vertical="center" wrapText="1"/>
      <protection locked="0"/>
    </xf>
    <xf numFmtId="0" fontId="40" fillId="8" borderId="0" xfId="0" applyFont="1" applyFill="1" applyAlignment="1" applyProtection="1">
      <alignment horizontal="center" vertical="center" wrapText="1"/>
      <protection locked="0"/>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43" fillId="8" borderId="0" xfId="0" applyFont="1" applyFill="1" applyAlignment="1" applyProtection="1">
      <alignment horizontal="center" vertical="center"/>
      <protection locked="0"/>
    </xf>
    <xf numFmtId="0" fontId="13" fillId="0" borderId="30" xfId="0" applyFont="1" applyBorder="1" applyProtection="1">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44" fillId="7" borderId="56" xfId="0" applyFont="1" applyFill="1" applyBorder="1" applyAlignment="1" applyProtection="1">
      <alignment horizontal="center" vertical="center" wrapText="1"/>
      <protection locked="0"/>
    </xf>
    <xf numFmtId="0" fontId="48" fillId="0" borderId="65" xfId="0" applyFont="1" applyBorder="1" applyAlignment="1" applyProtection="1">
      <alignment horizontal="justify" vertical="center"/>
      <protection locked="0"/>
    </xf>
    <xf numFmtId="0" fontId="48" fillId="0" borderId="66" xfId="0" applyFont="1" applyBorder="1" applyAlignment="1" applyProtection="1">
      <alignment horizontal="justify" vertical="center"/>
      <protection locked="0"/>
    </xf>
    <xf numFmtId="0" fontId="48" fillId="0" borderId="65" xfId="0" applyFont="1" applyBorder="1" applyAlignment="1">
      <alignment horizontal="justify" vertical="center" wrapText="1"/>
    </xf>
    <xf numFmtId="0" fontId="48" fillId="0" borderId="66" xfId="0" applyFont="1" applyBorder="1" applyAlignment="1">
      <alignment horizontal="justify" vertical="center" wrapText="1"/>
    </xf>
    <xf numFmtId="0" fontId="48" fillId="0" borderId="67" xfId="0" applyFont="1" applyBorder="1" applyAlignment="1">
      <alignment horizontal="justify" vertical="center" wrapText="1"/>
    </xf>
    <xf numFmtId="0" fontId="35" fillId="10" borderId="1" xfId="0" applyFont="1" applyFill="1" applyBorder="1" applyAlignment="1">
      <alignment horizontal="center" vertical="center" wrapText="1"/>
    </xf>
    <xf numFmtId="0" fontId="58" fillId="0" borderId="1" xfId="0" applyFont="1" applyBorder="1" applyAlignment="1">
      <alignment horizontal="justify" vertical="center" wrapText="1"/>
    </xf>
    <xf numFmtId="0" fontId="58" fillId="0" borderId="1" xfId="0" applyFont="1" applyBorder="1" applyAlignment="1">
      <alignment horizontal="left" vertical="center" wrapText="1"/>
    </xf>
    <xf numFmtId="14" fontId="32" fillId="8" borderId="1" xfId="0" applyNumberFormat="1" applyFont="1" applyFill="1" applyBorder="1" applyAlignment="1">
      <alignment horizontal="center" vertical="center"/>
    </xf>
    <xf numFmtId="0" fontId="48" fillId="0" borderId="1" xfId="0" applyFont="1" applyBorder="1" applyAlignment="1">
      <alignment horizontal="justify" vertical="center"/>
    </xf>
    <xf numFmtId="0" fontId="48" fillId="0" borderId="45" xfId="0" applyFont="1" applyBorder="1" applyAlignment="1" applyProtection="1">
      <alignment horizontal="justify" vertical="center"/>
      <protection locked="0"/>
    </xf>
    <xf numFmtId="14" fontId="38" fillId="8" borderId="32" xfId="0" applyNumberFormat="1" applyFont="1" applyFill="1" applyBorder="1" applyAlignment="1">
      <alignment horizontal="center"/>
    </xf>
    <xf numFmtId="0" fontId="11" fillId="8" borderId="1" xfId="0" applyFont="1" applyFill="1" applyBorder="1" applyAlignment="1">
      <alignment horizontal="center" vertical="center"/>
    </xf>
    <xf numFmtId="0" fontId="13" fillId="8" borderId="1" xfId="0" applyFont="1" applyFill="1" applyBorder="1" applyAlignment="1">
      <alignment horizontal="center" vertical="center"/>
    </xf>
    <xf numFmtId="9" fontId="42" fillId="0" borderId="4" xfId="1" applyFont="1" applyBorder="1" applyAlignment="1" applyProtection="1">
      <alignment horizontal="center" vertical="center" wrapText="1"/>
      <protection locked="0"/>
    </xf>
    <xf numFmtId="0" fontId="48" fillId="0" borderId="1" xfId="0" applyFont="1" applyBorder="1" applyAlignment="1" applyProtection="1">
      <alignment horizontal="justify" vertical="center"/>
      <protection locked="0"/>
    </xf>
    <xf numFmtId="0" fontId="25" fillId="10" borderId="0" xfId="0" applyFont="1" applyFill="1" applyAlignment="1">
      <alignment horizontal="center" vertical="center"/>
    </xf>
    <xf numFmtId="0" fontId="45" fillId="7" borderId="72" xfId="0" applyFont="1" applyFill="1" applyBorder="1" applyAlignment="1">
      <alignment horizontal="center" vertical="center" wrapText="1"/>
    </xf>
    <xf numFmtId="0" fontId="45" fillId="7" borderId="73" xfId="0" applyFont="1" applyFill="1" applyBorder="1" applyAlignment="1">
      <alignment horizontal="center" vertical="center" wrapText="1"/>
    </xf>
    <xf numFmtId="0" fontId="45" fillId="7" borderId="74" xfId="0" applyFont="1" applyFill="1" applyBorder="1" applyAlignment="1">
      <alignment horizontal="center" vertical="center" wrapText="1"/>
    </xf>
    <xf numFmtId="0" fontId="48" fillId="0" borderId="9" xfId="0" applyFont="1" applyBorder="1" applyAlignment="1" applyProtection="1">
      <alignment horizontal="justify" vertical="center"/>
      <protection locked="0"/>
    </xf>
    <xf numFmtId="9" fontId="47" fillId="14" borderId="1" xfId="1" applyFont="1" applyFill="1" applyBorder="1" applyAlignment="1" applyProtection="1">
      <alignment horizontal="center" vertical="center" wrapText="1"/>
      <protection locked="0"/>
    </xf>
    <xf numFmtId="0" fontId="0" fillId="0" borderId="0" xfId="0" applyAlignment="1">
      <alignment wrapText="1"/>
    </xf>
    <xf numFmtId="9" fontId="47" fillId="14" borderId="9" xfId="1" applyFont="1" applyFill="1" applyBorder="1" applyAlignment="1" applyProtection="1">
      <alignment horizontal="center" vertical="center" wrapText="1"/>
      <protection locked="0"/>
    </xf>
    <xf numFmtId="0" fontId="45" fillId="7" borderId="44" xfId="0" applyFont="1" applyFill="1" applyBorder="1" applyAlignment="1">
      <alignment horizontal="center" vertical="center" wrapText="1"/>
    </xf>
    <xf numFmtId="10" fontId="47" fillId="11" borderId="57" xfId="0" applyNumberFormat="1" applyFont="1" applyFill="1" applyBorder="1" applyAlignment="1">
      <alignment horizontal="center" vertical="center"/>
    </xf>
    <xf numFmtId="9" fontId="42" fillId="0" borderId="9" xfId="0" applyNumberFormat="1" applyFont="1" applyBorder="1" applyAlignment="1" applyProtection="1">
      <alignment horizontal="center" vertical="center" wrapText="1"/>
      <protection locked="0"/>
    </xf>
    <xf numFmtId="0" fontId="42" fillId="0" borderId="9" xfId="0" applyFont="1" applyBorder="1" applyAlignment="1" applyProtection="1">
      <alignment horizontal="justify" vertical="center" wrapText="1"/>
      <protection locked="0"/>
    </xf>
    <xf numFmtId="0" fontId="42" fillId="0" borderId="1" xfId="0" applyFont="1" applyBorder="1" applyAlignment="1" applyProtection="1">
      <alignment horizontal="justify" vertical="center" wrapText="1"/>
      <protection locked="0"/>
    </xf>
    <xf numFmtId="9" fontId="42" fillId="0" borderId="1" xfId="0" applyNumberFormat="1" applyFont="1" applyBorder="1" applyAlignment="1" applyProtection="1">
      <alignment horizontal="center" vertical="center" wrapText="1"/>
      <protection locked="0"/>
    </xf>
    <xf numFmtId="2" fontId="45" fillId="7" borderId="37" xfId="0" applyNumberFormat="1" applyFont="1" applyFill="1" applyBorder="1" applyAlignment="1">
      <alignment horizontal="center" vertical="center" wrapText="1"/>
    </xf>
    <xf numFmtId="9" fontId="66" fillId="0" borderId="0" xfId="1" applyFont="1" applyProtection="1">
      <protection locked="0"/>
    </xf>
    <xf numFmtId="9" fontId="47" fillId="11" borderId="45" xfId="0" applyNumberFormat="1" applyFont="1" applyFill="1" applyBorder="1" applyAlignment="1">
      <alignment horizontal="center" vertical="center"/>
    </xf>
    <xf numFmtId="0" fontId="28" fillId="0" borderId="1" xfId="0" applyFont="1" applyBorder="1" applyAlignment="1" applyProtection="1">
      <alignment vertical="top" wrapText="1"/>
      <protection locked="0"/>
    </xf>
    <xf numFmtId="43" fontId="47" fillId="0" borderId="0" xfId="0" applyNumberFormat="1" applyFont="1" applyAlignment="1" applyProtection="1">
      <alignment horizontal="center" vertical="center"/>
      <protection locked="0"/>
    </xf>
    <xf numFmtId="167" fontId="47" fillId="0" borderId="0" xfId="13" applyNumberFormat="1" applyFont="1" applyAlignment="1" applyProtection="1">
      <alignment horizontal="center" vertical="center"/>
      <protection locked="0"/>
    </xf>
    <xf numFmtId="43" fontId="47" fillId="0" borderId="0" xfId="13" applyFont="1" applyAlignment="1" applyProtection="1">
      <alignment horizontal="center" vertical="center"/>
      <protection locked="0"/>
    </xf>
    <xf numFmtId="167" fontId="47" fillId="15" borderId="17" xfId="13" applyNumberFormat="1" applyFont="1" applyFill="1" applyBorder="1" applyAlignment="1" applyProtection="1">
      <alignment horizontal="center" vertical="center"/>
      <protection locked="0"/>
    </xf>
    <xf numFmtId="166" fontId="47" fillId="15" borderId="19" xfId="1" applyNumberFormat="1" applyFont="1" applyFill="1" applyBorder="1" applyAlignment="1" applyProtection="1">
      <alignment horizontal="center" vertical="center"/>
      <protection locked="0"/>
    </xf>
    <xf numFmtId="167" fontId="47" fillId="16" borderId="0" xfId="13" applyNumberFormat="1" applyFont="1" applyFill="1" applyAlignment="1" applyProtection="1">
      <alignment horizontal="center" vertical="center"/>
      <protection locked="0"/>
    </xf>
    <xf numFmtId="43" fontId="47" fillId="16" borderId="0" xfId="13" applyFont="1" applyFill="1" applyAlignment="1" applyProtection="1">
      <alignment horizontal="center" vertical="center"/>
      <protection locked="0"/>
    </xf>
    <xf numFmtId="166" fontId="47" fillId="15" borderId="0" xfId="1" applyNumberFormat="1" applyFont="1" applyFill="1" applyBorder="1" applyAlignment="1" applyProtection="1">
      <alignment horizontal="center" vertical="center"/>
      <protection locked="0"/>
    </xf>
    <xf numFmtId="9" fontId="47" fillId="11" borderId="38" xfId="1" applyFont="1" applyFill="1" applyBorder="1" applyAlignment="1" applyProtection="1">
      <alignment horizontal="center" vertical="center"/>
    </xf>
    <xf numFmtId="9" fontId="47" fillId="11" borderId="29" xfId="0" applyNumberFormat="1" applyFont="1" applyFill="1" applyBorder="1" applyAlignment="1">
      <alignment horizontal="center" vertical="center"/>
    </xf>
    <xf numFmtId="166" fontId="47" fillId="11" borderId="1" xfId="0" applyNumberFormat="1" applyFont="1" applyFill="1" applyBorder="1" applyAlignment="1">
      <alignment horizontal="center" vertical="center"/>
    </xf>
    <xf numFmtId="0" fontId="13" fillId="8" borderId="38" xfId="0" applyFont="1" applyFill="1" applyBorder="1" applyAlignment="1" applyProtection="1">
      <alignment horizontal="center"/>
      <protection locked="0"/>
    </xf>
    <xf numFmtId="0" fontId="39" fillId="8" borderId="0" xfId="0" applyFont="1" applyFill="1" applyAlignment="1" applyProtection="1">
      <alignment horizontal="center" vertical="center"/>
      <protection locked="0"/>
    </xf>
    <xf numFmtId="0" fontId="4" fillId="0" borderId="0" xfId="0" applyFont="1" applyAlignment="1" applyProtection="1">
      <alignment horizontal="center"/>
      <protection locked="0"/>
    </xf>
    <xf numFmtId="9" fontId="57" fillId="11" borderId="37" xfId="0" applyNumberFormat="1" applyFont="1" applyFill="1" applyBorder="1" applyAlignment="1">
      <alignment horizontal="center" vertical="center"/>
    </xf>
    <xf numFmtId="9" fontId="57" fillId="11" borderId="57" xfId="0" applyNumberFormat="1" applyFont="1" applyFill="1" applyBorder="1" applyAlignment="1">
      <alignment horizontal="center" vertical="center"/>
    </xf>
    <xf numFmtId="166" fontId="57" fillId="11" borderId="37" xfId="1" applyNumberFormat="1" applyFont="1" applyFill="1" applyBorder="1" applyAlignment="1" applyProtection="1">
      <alignment horizontal="center" vertical="center"/>
    </xf>
    <xf numFmtId="9" fontId="57" fillId="11" borderId="37" xfId="1" applyFont="1" applyFill="1" applyBorder="1" applyAlignment="1" applyProtection="1">
      <alignment horizontal="center" vertical="center"/>
    </xf>
    <xf numFmtId="0" fontId="42" fillId="0" borderId="2" xfId="0" applyFont="1" applyBorder="1" applyAlignment="1" applyProtection="1">
      <alignment horizontal="justify" vertical="center" wrapText="1"/>
      <protection locked="0"/>
    </xf>
    <xf numFmtId="0" fontId="44" fillId="7" borderId="1" xfId="0" applyFont="1" applyFill="1" applyBorder="1" applyAlignment="1" applyProtection="1">
      <alignment horizontal="center" vertical="center" wrapText="1"/>
      <protection locked="0"/>
    </xf>
    <xf numFmtId="10" fontId="47" fillId="11" borderId="19" xfId="1" applyNumberFormat="1" applyFont="1" applyFill="1" applyBorder="1" applyAlignment="1" applyProtection="1">
      <alignment horizontal="center" vertical="center"/>
    </xf>
    <xf numFmtId="0" fontId="48" fillId="0" borderId="2" xfId="0" applyFont="1" applyBorder="1" applyAlignment="1" applyProtection="1">
      <alignment horizontal="justify" vertical="center"/>
      <protection locked="0"/>
    </xf>
    <xf numFmtId="9" fontId="47" fillId="14" borderId="3" xfId="1" applyFont="1" applyFill="1" applyBorder="1" applyAlignment="1" applyProtection="1">
      <alignment horizontal="center" vertical="center" wrapText="1"/>
      <protection locked="0"/>
    </xf>
    <xf numFmtId="9" fontId="47" fillId="11" borderId="78"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166" fontId="47" fillId="11" borderId="78" xfId="0" applyNumberFormat="1" applyFont="1" applyFill="1" applyBorder="1" applyAlignment="1">
      <alignment horizontal="center" vertical="center"/>
    </xf>
    <xf numFmtId="9" fontId="47" fillId="11" borderId="40" xfId="0" applyNumberFormat="1" applyFont="1" applyFill="1" applyBorder="1" applyAlignment="1">
      <alignment horizontal="center" vertical="center"/>
    </xf>
    <xf numFmtId="0" fontId="48" fillId="0" borderId="1" xfId="0" applyFont="1" applyBorder="1" applyAlignment="1" applyProtection="1">
      <alignment horizontal="justify" vertical="center" wrapText="1"/>
      <protection locked="0"/>
    </xf>
    <xf numFmtId="0" fontId="48" fillId="0" borderId="1" xfId="0" applyFont="1" applyBorder="1" applyAlignment="1">
      <alignment horizontal="justify" vertical="center" wrapText="1"/>
    </xf>
    <xf numFmtId="9" fontId="47" fillId="11" borderId="1" xfId="0" applyNumberFormat="1" applyFont="1" applyFill="1" applyBorder="1" applyAlignment="1">
      <alignment horizontal="center" vertical="center"/>
    </xf>
    <xf numFmtId="1" fontId="47" fillId="11" borderId="1" xfId="0" applyNumberFormat="1" applyFont="1" applyFill="1" applyBorder="1" applyAlignment="1">
      <alignment horizontal="center" vertical="center"/>
    </xf>
    <xf numFmtId="10" fontId="47" fillId="11" borderId="1" xfId="0" applyNumberFormat="1" applyFont="1" applyFill="1" applyBorder="1" applyAlignment="1">
      <alignment horizontal="center" vertical="center"/>
    </xf>
    <xf numFmtId="9" fontId="42" fillId="17" borderId="9" xfId="1" applyFont="1" applyFill="1" applyBorder="1" applyAlignment="1" applyProtection="1">
      <alignment horizontal="justify" vertical="center" wrapText="1"/>
      <protection locked="0"/>
    </xf>
    <xf numFmtId="9" fontId="42" fillId="17" borderId="1" xfId="1" applyFont="1" applyFill="1" applyBorder="1" applyAlignment="1" applyProtection="1">
      <alignment horizontal="justify" vertical="center" wrapText="1"/>
      <protection locked="0"/>
    </xf>
    <xf numFmtId="9" fontId="42" fillId="17" borderId="2" xfId="1" applyFont="1" applyFill="1" applyBorder="1" applyAlignment="1" applyProtection="1">
      <alignment horizontal="justify" vertical="center" wrapText="1"/>
      <protection locked="0"/>
    </xf>
    <xf numFmtId="9" fontId="42" fillId="17" borderId="14" xfId="1" applyFont="1" applyFill="1" applyBorder="1" applyAlignment="1" applyProtection="1">
      <alignment horizontal="justify" vertical="center" wrapText="1"/>
      <protection locked="0"/>
    </xf>
    <xf numFmtId="0" fontId="42" fillId="17" borderId="9" xfId="0" applyFont="1" applyFill="1" applyBorder="1" applyAlignment="1" applyProtection="1">
      <alignment horizontal="justify" vertical="center" wrapText="1"/>
      <protection locked="0"/>
    </xf>
    <xf numFmtId="9" fontId="42" fillId="17" borderId="1" xfId="1" applyFont="1" applyFill="1" applyBorder="1" applyAlignment="1" applyProtection="1">
      <alignment horizontal="center" vertical="center" wrapText="1"/>
      <protection locked="0"/>
    </xf>
    <xf numFmtId="0" fontId="63" fillId="17" borderId="1" xfId="0" applyFont="1" applyFill="1" applyBorder="1" applyAlignment="1" applyProtection="1">
      <alignment horizontal="justify" vertical="center" wrapText="1"/>
      <protection locked="0"/>
    </xf>
    <xf numFmtId="0" fontId="42" fillId="17" borderId="71" xfId="0" applyFont="1" applyFill="1" applyBorder="1" applyAlignment="1" applyProtection="1">
      <alignment horizontal="justify" vertical="center" wrapText="1"/>
      <protection locked="0"/>
    </xf>
    <xf numFmtId="9" fontId="42" fillId="17" borderId="4" xfId="1" applyFont="1" applyFill="1" applyBorder="1" applyAlignment="1" applyProtection="1">
      <alignment horizontal="justify" vertical="center" wrapText="1"/>
      <protection locked="0"/>
    </xf>
    <xf numFmtId="166" fontId="42" fillId="17" borderId="1" xfId="0" applyNumberFormat="1" applyFont="1" applyFill="1" applyBorder="1" applyAlignment="1" applyProtection="1">
      <alignment horizontal="justify" vertical="center" wrapText="1"/>
      <protection locked="0"/>
    </xf>
    <xf numFmtId="9" fontId="63" fillId="17" borderId="9" xfId="1" applyFont="1" applyFill="1" applyBorder="1" applyAlignment="1" applyProtection="1">
      <alignment horizontal="justify" vertical="center" wrapText="1"/>
      <protection locked="0"/>
    </xf>
    <xf numFmtId="9" fontId="62" fillId="14" borderId="1" xfId="1" applyFont="1" applyFill="1" applyBorder="1" applyAlignment="1" applyProtection="1">
      <alignment horizontal="center" vertical="center" wrapText="1"/>
      <protection locked="0"/>
    </xf>
    <xf numFmtId="0" fontId="42" fillId="17" borderId="4" xfId="1" applyNumberFormat="1" applyFont="1" applyFill="1" applyBorder="1" applyAlignment="1" applyProtection="1">
      <alignment horizontal="justify" vertical="center" wrapText="1"/>
      <protection locked="0"/>
    </xf>
    <xf numFmtId="0" fontId="42" fillId="17" borderId="1" xfId="1" applyNumberFormat="1" applyFont="1" applyFill="1" applyBorder="1" applyAlignment="1" applyProtection="1">
      <alignment horizontal="justify" vertical="center" wrapText="1"/>
      <protection locked="0"/>
    </xf>
    <xf numFmtId="0" fontId="26" fillId="17" borderId="10" xfId="11" applyFill="1" applyBorder="1" applyAlignment="1" applyProtection="1">
      <alignment vertical="center" wrapText="1"/>
      <protection locked="0"/>
    </xf>
    <xf numFmtId="0" fontId="26" fillId="17" borderId="69" xfId="11" applyFill="1" applyBorder="1" applyAlignment="1" applyProtection="1">
      <alignment vertical="center" wrapText="1"/>
      <protection locked="0"/>
    </xf>
    <xf numFmtId="0" fontId="67" fillId="17" borderId="78" xfId="12" applyFont="1" applyFill="1" applyBorder="1" applyAlignment="1" applyProtection="1">
      <alignment vertical="center" wrapText="1"/>
      <protection locked="0"/>
    </xf>
    <xf numFmtId="0" fontId="26" fillId="17" borderId="4" xfId="12" applyFill="1" applyBorder="1" applyAlignment="1" applyProtection="1">
      <alignment vertical="center" wrapText="1"/>
      <protection locked="0"/>
    </xf>
    <xf numFmtId="0" fontId="65" fillId="17" borderId="1" xfId="12" applyFont="1" applyFill="1" applyBorder="1" applyAlignment="1" applyProtection="1">
      <alignment vertical="center" wrapText="1"/>
      <protection locked="0"/>
    </xf>
    <xf numFmtId="166" fontId="38" fillId="17" borderId="1" xfId="0" applyNumberFormat="1" applyFont="1" applyFill="1" applyBorder="1" applyAlignment="1" applyProtection="1">
      <alignment horizontal="left" vertical="center" wrapText="1"/>
      <protection locked="0"/>
    </xf>
    <xf numFmtId="166" fontId="15" fillId="17" borderId="1" xfId="0" applyNumberFormat="1" applyFont="1" applyFill="1" applyBorder="1" applyAlignment="1" applyProtection="1">
      <alignment horizontal="left" vertical="center" wrapText="1"/>
      <protection locked="0"/>
    </xf>
    <xf numFmtId="166" fontId="69" fillId="17" borderId="1" xfId="0" applyNumberFormat="1" applyFont="1" applyFill="1" applyBorder="1" applyAlignment="1" applyProtection="1">
      <alignment horizontal="left" vertical="center" wrapText="1"/>
      <protection locked="0"/>
    </xf>
    <xf numFmtId="0" fontId="48" fillId="17" borderId="9" xfId="1" applyNumberFormat="1" applyFont="1" applyFill="1" applyBorder="1" applyAlignment="1" applyProtection="1">
      <alignment horizontal="justify" vertical="center" wrapText="1"/>
      <protection locked="0"/>
    </xf>
    <xf numFmtId="0" fontId="48" fillId="17" borderId="1" xfId="1" applyNumberFormat="1" applyFont="1" applyFill="1" applyBorder="1" applyAlignment="1" applyProtection="1">
      <alignment horizontal="justify" vertical="center" wrapText="1"/>
      <protection locked="0"/>
    </xf>
    <xf numFmtId="0" fontId="48" fillId="17" borderId="14" xfId="1" applyNumberFormat="1" applyFont="1" applyFill="1" applyBorder="1" applyAlignment="1" applyProtection="1">
      <alignment horizontal="justify" vertical="center" wrapText="1"/>
      <protection locked="0"/>
    </xf>
    <xf numFmtId="9" fontId="48" fillId="17" borderId="9" xfId="1" applyFont="1" applyFill="1" applyBorder="1" applyAlignment="1" applyProtection="1">
      <alignment horizontal="justify" vertical="center" wrapText="1"/>
      <protection locked="0"/>
    </xf>
    <xf numFmtId="9" fontId="48" fillId="17" borderId="1" xfId="1" applyFont="1" applyFill="1" applyBorder="1" applyAlignment="1" applyProtection="1">
      <alignment horizontal="justify" vertical="center" wrapText="1"/>
      <protection locked="0"/>
    </xf>
    <xf numFmtId="9" fontId="48" fillId="17" borderId="4" xfId="1" applyFont="1" applyFill="1" applyBorder="1" applyAlignment="1" applyProtection="1">
      <alignment horizontal="justify" vertical="center" wrapText="1"/>
      <protection locked="0"/>
    </xf>
    <xf numFmtId="0" fontId="48" fillId="17" borderId="81" xfId="0" applyFont="1" applyFill="1" applyBorder="1" applyAlignment="1" applyProtection="1">
      <alignment horizontal="justify" vertical="center" wrapText="1"/>
      <protection locked="0"/>
    </xf>
    <xf numFmtId="0" fontId="48" fillId="17" borderId="1" xfId="0" applyFont="1" applyFill="1" applyBorder="1" applyAlignment="1" applyProtection="1">
      <alignment vertical="center" wrapText="1"/>
      <protection locked="0"/>
    </xf>
    <xf numFmtId="14" fontId="38" fillId="0" borderId="26" xfId="0" applyNumberFormat="1"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55" fillId="8" borderId="44" xfId="0" applyFont="1" applyFill="1" applyBorder="1" applyAlignment="1">
      <alignment horizontal="center" vertical="center" wrapText="1"/>
    </xf>
    <xf numFmtId="0" fontId="55" fillId="8" borderId="62"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1" xfId="0" applyFont="1" applyFill="1" applyBorder="1" applyAlignment="1">
      <alignment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37" xfId="0" applyFont="1" applyFill="1" applyBorder="1" applyAlignment="1">
      <alignment horizontal="left" vertical="top" wrapText="1"/>
    </xf>
    <xf numFmtId="0" fontId="16" fillId="6"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9" fontId="48" fillId="0" borderId="9" xfId="1" applyFont="1" applyFill="1" applyBorder="1" applyAlignment="1" applyProtection="1">
      <alignment horizontal="justify" vertical="center" wrapText="1"/>
    </xf>
    <xf numFmtId="9" fontId="48" fillId="0" borderId="1" xfId="1" applyFont="1" applyFill="1" applyBorder="1" applyAlignment="1" applyProtection="1">
      <alignment horizontal="justify" vertical="center" wrapText="1"/>
    </xf>
    <xf numFmtId="9" fontId="48" fillId="0" borderId="2" xfId="1" applyFont="1" applyFill="1" applyBorder="1" applyAlignment="1" applyProtection="1">
      <alignment horizontal="justify" vertical="center" wrapText="1"/>
    </xf>
    <xf numFmtId="9" fontId="42" fillId="0" borderId="9" xfId="1" applyFont="1" applyBorder="1" applyAlignment="1" applyProtection="1">
      <alignment horizontal="justify" vertical="center" wrapText="1"/>
    </xf>
    <xf numFmtId="9" fontId="42" fillId="0" borderId="1" xfId="1" applyFont="1" applyBorder="1" applyAlignment="1" applyProtection="1">
      <alignment horizontal="justify" vertical="center" wrapText="1"/>
    </xf>
    <xf numFmtId="9" fontId="42" fillId="0" borderId="14" xfId="1" applyFont="1" applyBorder="1" applyAlignment="1" applyProtection="1">
      <alignment horizontal="justify" vertical="center" wrapText="1"/>
    </xf>
    <xf numFmtId="0" fontId="44" fillId="7"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14" fontId="42" fillId="0" borderId="1" xfId="0" applyNumberFormat="1" applyFont="1" applyBorder="1" applyAlignment="1" applyProtection="1">
      <alignment horizontal="center" vertical="center" wrapText="1"/>
      <protection locked="0"/>
    </xf>
    <xf numFmtId="9" fontId="42" fillId="0" borderId="9" xfId="0" applyNumberFormat="1"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4" fillId="7" borderId="8" xfId="0"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44" fillId="7" borderId="39" xfId="0" applyFont="1" applyFill="1" applyBorder="1" applyAlignment="1" applyProtection="1">
      <alignment horizontal="center" vertical="center" wrapText="1"/>
      <protection locked="0"/>
    </xf>
    <xf numFmtId="9" fontId="48" fillId="0" borderId="9" xfId="0" applyNumberFormat="1" applyFont="1" applyBorder="1" applyAlignment="1">
      <alignment horizontal="center" vertical="center" wrapText="1"/>
    </xf>
    <xf numFmtId="9" fontId="48" fillId="0" borderId="1" xfId="0" applyNumberFormat="1" applyFont="1" applyBorder="1" applyAlignment="1">
      <alignment horizontal="center" vertical="center" wrapText="1"/>
    </xf>
    <xf numFmtId="9" fontId="48" fillId="0" borderId="2" xfId="0" applyNumberFormat="1" applyFont="1" applyBorder="1" applyAlignment="1">
      <alignment horizontal="center" vertical="center" wrapText="1"/>
    </xf>
    <xf numFmtId="9" fontId="42" fillId="0" borderId="3" xfId="1" applyFont="1" applyFill="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6" xfId="0" applyFont="1" applyFill="1" applyBorder="1" applyAlignment="1">
      <alignment horizontal="center" vertical="center"/>
    </xf>
    <xf numFmtId="0" fontId="25" fillId="10" borderId="0" xfId="0" applyFont="1" applyFill="1" applyAlignment="1">
      <alignment horizontal="center" vertical="center"/>
    </xf>
    <xf numFmtId="0" fontId="25" fillId="10" borderId="47" xfId="0" applyFont="1" applyFill="1" applyBorder="1" applyAlignment="1">
      <alignment horizontal="center" vertical="center"/>
    </xf>
    <xf numFmtId="0" fontId="43" fillId="10" borderId="0" xfId="0" applyFont="1" applyFill="1" applyAlignment="1">
      <alignment horizontal="center" vertical="center"/>
    </xf>
    <xf numFmtId="0" fontId="43" fillId="10" borderId="47" xfId="0" applyFont="1" applyFill="1" applyBorder="1" applyAlignment="1">
      <alignment horizontal="center" vertical="center"/>
    </xf>
    <xf numFmtId="0" fontId="45" fillId="7" borderId="44" xfId="0" applyFont="1" applyFill="1" applyBorder="1" applyAlignment="1">
      <alignment horizontal="center" vertical="center" wrapText="1"/>
    </xf>
    <xf numFmtId="0" fontId="45" fillId="7" borderId="45"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17" xfId="0" applyFont="1" applyFill="1" applyBorder="1" applyAlignment="1">
      <alignment horizontal="center" vertical="center" wrapText="1"/>
    </xf>
    <xf numFmtId="0" fontId="26" fillId="17" borderId="79" xfId="11" applyFill="1" applyBorder="1" applyAlignment="1" applyProtection="1">
      <alignment horizontal="center" vertical="center" wrapText="1"/>
      <protection locked="0"/>
    </xf>
    <xf numFmtId="0" fontId="26" fillId="17" borderId="80" xfId="11" applyFill="1" applyBorder="1" applyAlignment="1" applyProtection="1">
      <alignment horizontal="center" vertical="center" wrapText="1"/>
      <protection locked="0"/>
    </xf>
    <xf numFmtId="0" fontId="26" fillId="17" borderId="82" xfId="11" applyFill="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9" fontId="42" fillId="17" borderId="1" xfId="1" applyFont="1" applyFill="1" applyBorder="1" applyAlignment="1" applyProtection="1">
      <alignment horizontal="center" vertical="center" wrapText="1"/>
      <protection locked="0"/>
    </xf>
    <xf numFmtId="166" fontId="48" fillId="17" borderId="1" xfId="1" applyNumberFormat="1" applyFont="1" applyFill="1" applyBorder="1" applyAlignment="1" applyProtection="1">
      <alignment horizontal="center" vertical="center" wrapText="1"/>
    </xf>
    <xf numFmtId="0" fontId="42" fillId="0" borderId="9" xfId="0" applyFont="1" applyBorder="1" applyAlignment="1" applyProtection="1">
      <alignment horizontal="center" vertical="center" wrapText="1"/>
      <protection locked="0"/>
    </xf>
    <xf numFmtId="0" fontId="42" fillId="0" borderId="9" xfId="0" applyFont="1" applyBorder="1" applyAlignment="1" applyProtection="1">
      <alignment horizontal="justify" vertical="center" wrapText="1"/>
      <protection locked="0"/>
    </xf>
    <xf numFmtId="0" fontId="42" fillId="0" borderId="1" xfId="0" applyFont="1" applyBorder="1" applyAlignment="1" applyProtection="1">
      <alignment horizontal="justify" vertical="center" wrapText="1"/>
      <protection locked="0"/>
    </xf>
    <xf numFmtId="0" fontId="42" fillId="0" borderId="2" xfId="0" applyFont="1" applyBorder="1" applyAlignment="1" applyProtection="1">
      <alignment horizontal="justify" vertical="center" wrapText="1"/>
      <protection locked="0"/>
    </xf>
    <xf numFmtId="9" fontId="42" fillId="0" borderId="9" xfId="1" applyFont="1" applyBorder="1" applyAlignment="1" applyProtection="1">
      <alignment horizontal="justify" vertical="center" wrapText="1"/>
      <protection locked="0"/>
    </xf>
    <xf numFmtId="9" fontId="42" fillId="0" borderId="1" xfId="1" applyFont="1" applyBorder="1" applyAlignment="1" applyProtection="1">
      <alignment horizontal="justify" vertical="center" wrapText="1"/>
      <protection locked="0"/>
    </xf>
    <xf numFmtId="9" fontId="42" fillId="0" borderId="2" xfId="1" applyFont="1" applyBorder="1" applyAlignment="1" applyProtection="1">
      <alignment horizontal="justify" vertical="center" wrapText="1"/>
      <protection locked="0"/>
    </xf>
    <xf numFmtId="14" fontId="42" fillId="0" borderId="9" xfId="0" applyNumberFormat="1" applyFont="1" applyBorder="1" applyAlignment="1" applyProtection="1">
      <alignment horizontal="center" vertical="center" wrapText="1"/>
      <protection locked="0"/>
    </xf>
    <xf numFmtId="0" fontId="26" fillId="17" borderId="10" xfId="11" applyFill="1" applyBorder="1" applyAlignment="1" applyProtection="1">
      <alignment horizontal="center" vertical="center" wrapText="1"/>
      <protection locked="0"/>
    </xf>
    <xf numFmtId="0" fontId="26" fillId="17" borderId="12" xfId="11" applyFill="1" applyBorder="1" applyAlignment="1" applyProtection="1">
      <alignment horizontal="center" vertical="center" wrapText="1"/>
      <protection locked="0"/>
    </xf>
    <xf numFmtId="0" fontId="26" fillId="17" borderId="15" xfId="11" applyFill="1" applyBorder="1" applyAlignment="1" applyProtection="1">
      <alignment horizontal="center" vertical="center" wrapText="1"/>
      <protection locked="0"/>
    </xf>
    <xf numFmtId="166" fontId="42" fillId="17" borderId="6" xfId="1" applyNumberFormat="1" applyFont="1" applyFill="1" applyBorder="1" applyAlignment="1" applyProtection="1">
      <alignment horizontal="center" vertical="center" wrapText="1"/>
    </xf>
    <xf numFmtId="0" fontId="63" fillId="0" borderId="1" xfId="0" applyFont="1" applyBorder="1" applyAlignment="1" applyProtection="1">
      <alignment horizontal="justify" vertical="center" wrapText="1"/>
      <protection locked="0"/>
    </xf>
    <xf numFmtId="0" fontId="64" fillId="0" borderId="1" xfId="0" applyFont="1" applyBorder="1" applyAlignment="1" applyProtection="1">
      <alignment horizontal="justify" vertical="center" wrapText="1"/>
      <protection locked="0"/>
    </xf>
    <xf numFmtId="0" fontId="44" fillId="11" borderId="1" xfId="0" applyFont="1" applyFill="1" applyBorder="1" applyAlignment="1" applyProtection="1">
      <alignment horizontal="center" vertical="center"/>
      <protection locked="0"/>
    </xf>
    <xf numFmtId="0" fontId="26" fillId="17" borderId="83" xfId="11" applyFill="1" applyBorder="1" applyAlignment="1">
      <alignment horizontal="center" vertical="center" wrapText="1"/>
    </xf>
    <xf numFmtId="0" fontId="26" fillId="17" borderId="84" xfId="11" applyFill="1" applyBorder="1" applyAlignment="1">
      <alignment horizontal="center" vertical="center" wrapText="1"/>
    </xf>
    <xf numFmtId="0" fontId="26" fillId="17" borderId="85" xfId="11" applyFill="1" applyBorder="1" applyAlignment="1">
      <alignment horizontal="center" vertical="center" wrapText="1"/>
    </xf>
    <xf numFmtId="0" fontId="44" fillId="11" borderId="42" xfId="0" applyFont="1" applyFill="1" applyBorder="1" applyAlignment="1" applyProtection="1">
      <alignment horizontal="center" vertical="center"/>
      <protection locked="0"/>
    </xf>
    <xf numFmtId="0" fontId="44" fillId="11" borderId="38" xfId="0" applyFont="1" applyFill="1" applyBorder="1" applyAlignment="1" applyProtection="1">
      <alignment horizontal="center" vertical="center"/>
      <protection locked="0"/>
    </xf>
    <xf numFmtId="0" fontId="44" fillId="11" borderId="86" xfId="0" applyFont="1" applyFill="1" applyBorder="1" applyAlignment="1" applyProtection="1">
      <alignment horizontal="center" vertical="center"/>
      <protection locked="0"/>
    </xf>
    <xf numFmtId="14" fontId="57" fillId="0" borderId="26" xfId="0" applyNumberFormat="1" applyFont="1" applyBorder="1" applyAlignment="1" applyProtection="1">
      <alignment horizontal="center" vertical="center"/>
      <protection locked="0"/>
    </xf>
    <xf numFmtId="0" fontId="56" fillId="0" borderId="26" xfId="0" applyFont="1" applyBorder="1" applyAlignment="1" applyProtection="1">
      <alignment horizontal="center" vertical="center"/>
      <protection locked="0"/>
    </xf>
    <xf numFmtId="0" fontId="59" fillId="8" borderId="58" xfId="0" applyFont="1" applyFill="1" applyBorder="1" applyAlignment="1" applyProtection="1">
      <alignment horizontal="center"/>
      <protection locked="0"/>
    </xf>
    <xf numFmtId="0" fontId="59" fillId="8" borderId="25" xfId="0" applyFont="1" applyFill="1" applyBorder="1" applyAlignment="1" applyProtection="1">
      <alignment horizontal="center"/>
      <protection locked="0"/>
    </xf>
    <xf numFmtId="0" fontId="59" fillId="8" borderId="24" xfId="0" applyFont="1" applyFill="1" applyBorder="1" applyAlignment="1" applyProtection="1">
      <alignment horizontal="center"/>
      <protection locked="0"/>
    </xf>
    <xf numFmtId="0" fontId="60" fillId="8" borderId="58" xfId="0" applyFont="1" applyFill="1" applyBorder="1" applyAlignment="1" applyProtection="1">
      <alignment horizontal="center"/>
      <protection locked="0"/>
    </xf>
    <xf numFmtId="0" fontId="60" fillId="8" borderId="25" xfId="0" applyFont="1" applyFill="1" applyBorder="1" applyAlignment="1" applyProtection="1">
      <alignment horizontal="center"/>
      <protection locked="0"/>
    </xf>
    <xf numFmtId="0" fontId="60" fillId="8" borderId="24" xfId="0" applyFont="1" applyFill="1" applyBorder="1" applyAlignment="1" applyProtection="1">
      <alignment horizontal="center"/>
      <protection locked="0"/>
    </xf>
    <xf numFmtId="166" fontId="42" fillId="0" borderId="1" xfId="1" applyNumberFormat="1" applyFont="1" applyFill="1" applyBorder="1" applyAlignment="1" applyProtection="1">
      <alignment horizontal="center" vertical="center" wrapText="1"/>
      <protection locked="0"/>
    </xf>
    <xf numFmtId="0" fontId="63"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166" fontId="42" fillId="17" borderId="1" xfId="0" applyNumberFormat="1" applyFont="1" applyFill="1" applyBorder="1" applyAlignment="1" applyProtection="1">
      <alignment horizontal="center" vertical="center" wrapText="1"/>
      <protection locked="0"/>
    </xf>
    <xf numFmtId="9" fontId="48" fillId="17" borderId="1" xfId="1" applyFont="1" applyFill="1" applyBorder="1" applyAlignment="1" applyProtection="1">
      <alignment horizontal="center" vertical="center" wrapText="1"/>
    </xf>
    <xf numFmtId="14" fontId="57" fillId="0" borderId="32" xfId="0" applyNumberFormat="1" applyFont="1" applyBorder="1" applyAlignment="1" applyProtection="1">
      <alignment horizontal="center" vertical="center" wrapText="1"/>
      <protection locked="0"/>
    </xf>
    <xf numFmtId="14" fontId="57" fillId="0" borderId="32" xfId="0" applyNumberFormat="1" applyFont="1" applyBorder="1" applyAlignment="1" applyProtection="1">
      <alignment horizontal="center" vertical="center"/>
      <protection locked="0"/>
    </xf>
    <xf numFmtId="0" fontId="44" fillId="8" borderId="13" xfId="0" applyFont="1" applyFill="1" applyBorder="1" applyAlignment="1" applyProtection="1">
      <alignment horizontal="center" vertical="center"/>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61" fillId="8" borderId="77" xfId="0" applyFont="1" applyFill="1" applyBorder="1" applyAlignment="1" applyProtection="1">
      <alignment horizontal="center" vertical="center"/>
      <protection locked="0"/>
    </xf>
    <xf numFmtId="0" fontId="61" fillId="8" borderId="60" xfId="0" applyFont="1" applyFill="1" applyBorder="1" applyAlignment="1" applyProtection="1">
      <alignment horizontal="center" vertical="center"/>
      <protection locked="0"/>
    </xf>
    <xf numFmtId="0" fontId="61" fillId="8" borderId="61" xfId="0" applyFont="1" applyFill="1" applyBorder="1" applyAlignment="1" applyProtection="1">
      <alignment horizontal="center" vertical="center"/>
      <protection locked="0"/>
    </xf>
    <xf numFmtId="0" fontId="45" fillId="7" borderId="75" xfId="0" applyFont="1" applyFill="1" applyBorder="1" applyAlignment="1">
      <alignment horizontal="center" vertical="center" wrapText="1"/>
    </xf>
    <xf numFmtId="0" fontId="45" fillId="7" borderId="76" xfId="0" applyFont="1" applyFill="1" applyBorder="1" applyAlignment="1">
      <alignment horizontal="center" vertical="center" wrapText="1"/>
    </xf>
    <xf numFmtId="9" fontId="42" fillId="17" borderId="32" xfId="1" applyFont="1" applyFill="1" applyBorder="1" applyAlignment="1" applyProtection="1">
      <alignment horizontal="center" vertical="center" wrapText="1"/>
    </xf>
    <xf numFmtId="9" fontId="42" fillId="17" borderId="30" xfId="1" applyFont="1" applyFill="1" applyBorder="1" applyAlignment="1" applyProtection="1">
      <alignment horizontal="center" vertical="center" wrapText="1"/>
    </xf>
    <xf numFmtId="9" fontId="42" fillId="17" borderId="21" xfId="1" applyFont="1" applyFill="1" applyBorder="1" applyAlignment="1" applyProtection="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2" fontId="45" fillId="7" borderId="37" xfId="0" applyNumberFormat="1" applyFont="1" applyFill="1" applyBorder="1" applyAlignment="1">
      <alignment horizontal="center" vertical="center" wrapText="1"/>
    </xf>
    <xf numFmtId="0" fontId="49" fillId="8" borderId="1" xfId="0" applyFont="1" applyFill="1" applyBorder="1" applyAlignment="1" applyProtection="1">
      <alignment horizontal="left"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0" fontId="44" fillId="7" borderId="56" xfId="0" applyFont="1" applyFill="1" applyBorder="1" applyAlignment="1" applyProtection="1">
      <alignment horizontal="center" vertical="center" wrapText="1"/>
      <protection locked="0"/>
    </xf>
    <xf numFmtId="9" fontId="42" fillId="0" borderId="2" xfId="0" applyNumberFormat="1"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0" fontId="44" fillId="7" borderId="55" xfId="0" applyFont="1" applyFill="1" applyBorder="1" applyAlignment="1" applyProtection="1">
      <alignment horizontal="center" vertical="center" wrapText="1"/>
      <protection locked="0"/>
    </xf>
    <xf numFmtId="0" fontId="42" fillId="0" borderId="36" xfId="0" applyFont="1" applyBorder="1" applyAlignment="1" applyProtection="1">
      <alignment horizontal="justify" vertical="center" wrapText="1"/>
      <protection locked="0"/>
    </xf>
    <xf numFmtId="0" fontId="42" fillId="0" borderId="3" xfId="0" applyFont="1" applyBorder="1" applyAlignment="1" applyProtection="1">
      <alignment horizontal="justify" vertical="center" wrapText="1"/>
      <protection locked="0"/>
    </xf>
    <xf numFmtId="9" fontId="42" fillId="0" borderId="36" xfId="0" applyNumberFormat="1" applyFont="1" applyBorder="1" applyAlignment="1" applyProtection="1">
      <alignment horizontal="center" vertical="center" wrapText="1"/>
      <protection locked="0"/>
    </xf>
    <xf numFmtId="14" fontId="42" fillId="0" borderId="64" xfId="0" applyNumberFormat="1" applyFont="1" applyBorder="1" applyAlignment="1" applyProtection="1">
      <alignment horizontal="center" vertical="center" wrapText="1"/>
      <protection locked="0"/>
    </xf>
    <xf numFmtId="0" fontId="42" fillId="0" borderId="63" xfId="0" applyFont="1" applyBorder="1" applyAlignment="1" applyProtection="1">
      <alignment horizontal="center" vertical="center" wrapText="1"/>
      <protection locked="0"/>
    </xf>
    <xf numFmtId="9" fontId="42" fillId="0" borderId="31" xfId="1" applyFont="1" applyFill="1" applyBorder="1" applyAlignment="1" applyProtection="1">
      <alignment horizontal="center" vertical="center" wrapText="1"/>
      <protection locked="0"/>
    </xf>
    <xf numFmtId="9" fontId="42" fillId="0" borderId="30" xfId="1" applyFont="1" applyFill="1" applyBorder="1" applyAlignment="1" applyProtection="1">
      <alignment horizontal="center" vertical="center" wrapText="1"/>
      <protection locked="0"/>
    </xf>
    <xf numFmtId="9" fontId="42" fillId="0" borderId="2" xfId="1"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top" wrapText="1"/>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70" xfId="0" applyFont="1" applyFill="1" applyBorder="1" applyAlignment="1" applyProtection="1">
      <alignment horizontal="center" vertical="center"/>
      <protection locked="0"/>
    </xf>
    <xf numFmtId="9" fontId="42" fillId="0" borderId="39" xfId="1" applyFont="1" applyFill="1" applyBorder="1" applyAlignment="1" applyProtection="1">
      <alignment horizontal="center" vertical="center" wrapText="1"/>
      <protection locked="0"/>
    </xf>
    <xf numFmtId="9" fontId="42" fillId="0" borderId="56" xfId="1" applyFont="1" applyFill="1" applyBorder="1" applyAlignment="1" applyProtection="1">
      <alignment horizontal="center" vertical="center" wrapText="1"/>
      <protection locked="0"/>
    </xf>
    <xf numFmtId="9" fontId="42" fillId="0" borderId="16" xfId="1" applyFont="1" applyFill="1" applyBorder="1" applyAlignment="1" applyProtection="1">
      <alignment horizontal="center" vertical="center" wrapText="1"/>
      <protection locked="0"/>
    </xf>
    <xf numFmtId="9" fontId="42" fillId="0" borderId="4" xfId="1" applyFont="1" applyFill="1" applyBorder="1" applyAlignment="1" applyProtection="1">
      <alignment horizontal="center" vertical="center" wrapText="1"/>
      <protection locked="0"/>
    </xf>
    <xf numFmtId="9" fontId="42" fillId="0" borderId="4" xfId="1"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9" fontId="48" fillId="0" borderId="1" xfId="1" applyFont="1" applyBorder="1" applyAlignment="1" applyProtection="1">
      <alignment horizontal="center" vertical="center" wrapText="1"/>
      <protection locked="0"/>
    </xf>
    <xf numFmtId="0" fontId="28" fillId="0" borderId="36" xfId="0" applyFont="1" applyBorder="1" applyAlignment="1" applyProtection="1">
      <alignment horizontal="center" vertical="top" wrapText="1"/>
      <protection locked="0"/>
    </xf>
    <xf numFmtId="0" fontId="28" fillId="0" borderId="3" xfId="0" applyFont="1" applyBorder="1" applyAlignment="1" applyProtection="1">
      <alignment horizontal="center" vertical="top" wrapText="1"/>
      <protection locked="0"/>
    </xf>
    <xf numFmtId="0" fontId="28" fillId="0" borderId="4" xfId="0" applyFont="1" applyBorder="1" applyAlignment="1" applyProtection="1">
      <alignment horizontal="center" vertical="top" wrapText="1"/>
      <protection locked="0"/>
    </xf>
    <xf numFmtId="0" fontId="45" fillId="7" borderId="33"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42" xfId="0" applyFont="1" applyFill="1" applyBorder="1" applyAlignment="1">
      <alignment horizontal="center" vertical="center" wrapText="1"/>
    </xf>
    <xf numFmtId="0" fontId="45" fillId="7" borderId="40" xfId="0" applyFont="1" applyFill="1" applyBorder="1" applyAlignment="1">
      <alignment horizontal="center" vertical="center" wrapText="1"/>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9" fontId="42" fillId="0" borderId="34" xfId="0" applyNumberFormat="1" applyFont="1" applyBorder="1" applyAlignment="1" applyProtection="1">
      <alignment horizontal="center" vertical="center" wrapText="1"/>
      <protection locked="0"/>
    </xf>
    <xf numFmtId="0" fontId="42" fillId="0" borderId="30" xfId="0" applyFont="1" applyBorder="1" applyAlignment="1" applyProtection="1">
      <alignment horizontal="center" vertical="center" wrapText="1"/>
      <protection locked="0"/>
    </xf>
    <xf numFmtId="9" fontId="48" fillId="0" borderId="36" xfId="0" applyNumberFormat="1" applyFont="1" applyBorder="1" applyAlignment="1">
      <alignment horizontal="center" vertical="center" wrapText="1"/>
    </xf>
    <xf numFmtId="9" fontId="48" fillId="0" borderId="3" xfId="0" applyNumberFormat="1" applyFont="1" applyBorder="1" applyAlignment="1">
      <alignment horizontal="center" vertical="center" wrapText="1"/>
    </xf>
    <xf numFmtId="9" fontId="48" fillId="0" borderId="4" xfId="0" applyNumberFormat="1" applyFont="1" applyBorder="1" applyAlignment="1">
      <alignment horizontal="center" vertical="center" wrapText="1"/>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14" fontId="42" fillId="0" borderId="63" xfId="0" applyNumberFormat="1" applyFont="1" applyBorder="1" applyAlignment="1" applyProtection="1">
      <alignment horizontal="center" vertical="center" wrapText="1"/>
      <protection locked="0"/>
    </xf>
    <xf numFmtId="14" fontId="42" fillId="0" borderId="35" xfId="0" applyNumberFormat="1" applyFont="1" applyBorder="1" applyAlignment="1" applyProtection="1">
      <alignment horizontal="center" vertical="center" wrapText="1"/>
      <protection locked="0"/>
    </xf>
    <xf numFmtId="14" fontId="42" fillId="0" borderId="68" xfId="0" applyNumberFormat="1" applyFont="1" applyBorder="1" applyAlignment="1" applyProtection="1">
      <alignment horizontal="center" vertical="center" wrapText="1"/>
      <protection locked="0"/>
    </xf>
    <xf numFmtId="14" fontId="42" fillId="0" borderId="69" xfId="0" applyNumberFormat="1" applyFont="1" applyBorder="1" applyAlignment="1" applyProtection="1">
      <alignment horizontal="center" vertical="center" wrapText="1"/>
      <protection locked="0"/>
    </xf>
    <xf numFmtId="166" fontId="48" fillId="0" borderId="1" xfId="0" applyNumberFormat="1" applyFont="1" applyBorder="1" applyAlignment="1" applyProtection="1">
      <alignment horizontal="center" vertical="center" wrapText="1"/>
      <protection locked="0"/>
    </xf>
    <xf numFmtId="0" fontId="49" fillId="8" borderId="33" xfId="0" applyFont="1" applyFill="1" applyBorder="1" applyAlignment="1" applyProtection="1">
      <alignment horizontal="left" vertical="center" wrapText="1"/>
      <protection locked="0"/>
    </xf>
    <xf numFmtId="0" fontId="49" fillId="8" borderId="41" xfId="0" applyFont="1" applyFill="1" applyBorder="1" applyAlignment="1" applyProtection="1">
      <alignment horizontal="left" vertical="center" wrapText="1"/>
      <protection locked="0"/>
    </xf>
    <xf numFmtId="0" fontId="49" fillId="8" borderId="34" xfId="0" applyFont="1" applyFill="1" applyBorder="1" applyAlignment="1" applyProtection="1">
      <alignment horizontal="left" vertical="center" wrapText="1"/>
      <protection locked="0"/>
    </xf>
    <xf numFmtId="166" fontId="42" fillId="0" borderId="1" xfId="1"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top" wrapText="1"/>
      <protection locked="0"/>
    </xf>
    <xf numFmtId="0" fontId="28" fillId="0" borderId="71" xfId="0" applyFont="1" applyBorder="1" applyAlignment="1" applyProtection="1">
      <alignment horizontal="center" vertical="top" wrapText="1"/>
      <protection locked="0"/>
    </xf>
    <xf numFmtId="14" fontId="42" fillId="0" borderId="5" xfId="0" applyNumberFormat="1" applyFont="1" applyBorder="1" applyAlignment="1" applyProtection="1">
      <alignment horizontal="center" vertical="center" wrapText="1"/>
      <protection locked="0"/>
    </xf>
    <xf numFmtId="0" fontId="42" fillId="0" borderId="5" xfId="0" applyFont="1" applyBorder="1" applyAlignment="1" applyProtection="1">
      <alignment horizontal="center" vertical="center" wrapText="1"/>
      <protection locked="0"/>
    </xf>
    <xf numFmtId="14" fontId="57" fillId="8" borderId="26" xfId="0" applyNumberFormat="1" applyFont="1" applyFill="1" applyBorder="1" applyAlignment="1" applyProtection="1">
      <alignment horizontal="center" vertical="center"/>
      <protection locked="0"/>
    </xf>
    <xf numFmtId="0" fontId="56" fillId="8" borderId="26" xfId="0" applyFont="1" applyFill="1" applyBorder="1" applyAlignment="1" applyProtection="1">
      <alignment horizontal="center" vertical="center"/>
      <protection locked="0"/>
    </xf>
    <xf numFmtId="0" fontId="60" fillId="8" borderId="23" xfId="0" applyFont="1" applyFill="1" applyBorder="1" applyAlignment="1" applyProtection="1">
      <alignment horizontal="center"/>
      <protection locked="0"/>
    </xf>
    <xf numFmtId="0" fontId="61" fillId="8" borderId="59" xfId="0" applyFont="1" applyFill="1" applyBorder="1" applyAlignment="1" applyProtection="1">
      <alignment horizontal="center" vertical="center"/>
      <protection locked="0"/>
    </xf>
    <xf numFmtId="0" fontId="36" fillId="10" borderId="1"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5" fillId="1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0" xfId="0" applyFont="1" applyFill="1" applyAlignment="1">
      <alignment horizontal="center"/>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8" fillId="8" borderId="26" xfId="0" applyFont="1" applyFill="1" applyBorder="1" applyAlignment="1" applyProtection="1">
      <alignment horizontal="center"/>
      <protection locked="0"/>
    </xf>
    <xf numFmtId="14" fontId="32" fillId="0" borderId="1" xfId="0" applyNumberFormat="1" applyFont="1" applyFill="1" applyBorder="1" applyAlignment="1">
      <alignment horizontal="center" vertical="center"/>
    </xf>
  </cellXfs>
  <cellStyles count="14">
    <cellStyle name="Hipervínculo" xfId="5" builtinId="8" hidden="1"/>
    <cellStyle name="Hipervínculo" xfId="3" builtinId="8" hidden="1"/>
    <cellStyle name="Hipervínculo" xfId="9" builtinId="8" hidden="1"/>
    <cellStyle name="Hipervínculo" xfId="7" builtinId="8" hidden="1"/>
    <cellStyle name="Hipervínculo" xfId="12" builtinId="8"/>
    <cellStyle name="Hipervínculo visitado" xfId="6" builtinId="9" hidden="1"/>
    <cellStyle name="Hipervínculo visitado" xfId="4" builtinId="9" hidden="1"/>
    <cellStyle name="Hipervínculo visitado" xfId="10" builtinId="9" hidden="1"/>
    <cellStyle name="Hipervínculo visitado" xfId="8" builtinId="9" hidden="1"/>
    <cellStyle name="Hyperlink" xfId="11" xr:uid="{00000000-0005-0000-0000-000009000000}"/>
    <cellStyle name="Millares" xfId="13" builtinId="3"/>
    <cellStyle name="Normal" xfId="0" builtinId="0"/>
    <cellStyle name="Normal 2" xfId="2" xr:uid="{00000000-0005-0000-0000-00000C000000}"/>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3067CC"/>
      <color rgb="FF6CFC99"/>
      <color rgb="FF53F77A"/>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2D2989F1-A934-4902-B452-E016D07956B5}"/>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Forms/AllItems.aspx?newTargetListUrl=%2Fsites%2Fo365%5FCC%5FDDM%2FCC%5FDDM%5FD&amp;viewpath=%2Fsites%2Fo365%5FCC%5FDDM%2FCC%5FDDM%5FD%2FForms%2FAllItems%2Easpx&amp;id=%2Fsites%2Fo365%5FCC%5FDDM%2FCC%5FDDM%5FD%2FACUERDOS%20DE%20GESTION%2F2022%2FEVIDENCIAS%20II%20SEMESTRE%20%2D%202109%20A%203112%2F2%2E%20MECANISMOS%20COMUNICACION%2F2%2E1&amp;viewid=e8a78d4d%2D2054%2D4344%2D8647%2D176dec0d318a" TargetMode="External"/><Relationship Id="rId7" Type="http://schemas.openxmlformats.org/officeDocument/2006/relationships/drawing" Target="../drawings/drawing3.xml"/><Relationship Id="rId2" Type="http://schemas.openxmlformats.org/officeDocument/2006/relationships/hyperlink" Target="../../../Forms/AllItems.aspx?id=%2Fsites%2Fo365%5FCC%5FDDM%2FCC%5FDDM%5FD%2FACUERDOS%20DE%20GESTION%2F2022%2FEVIDENCIAS%20II%20SEMESTRE%20%2D%202109%20A%203112%2F3%2E%20REGISTROS%20SANITARIOS&amp;viewid=e8a78d4d%2D2054%2D4344%2D8647%2D176dec0d318a" TargetMode="External"/><Relationship Id="rId1" Type="http://schemas.openxmlformats.org/officeDocument/2006/relationships/hyperlink" Target="../../../../../../:f:/r/sites/o365_CC_DDM/CC_DDM_D/ACUERDOS%20DE%20GESTION/2022/EVIDENCIAS%20II%20SEMESTRE%20-%202109%20A%203112/ADICIONAL%20GICASE?csf=1&amp;web=1&amp;e=avM0Fj" TargetMode="External"/><Relationship Id="rId6" Type="http://schemas.openxmlformats.org/officeDocument/2006/relationships/printerSettings" Target="../printerSettings/printerSettings4.bin"/><Relationship Id="rId5" Type="http://schemas.openxmlformats.org/officeDocument/2006/relationships/hyperlink" Target="../../../Forms/AllItems.aspx?id=%2Fsites%2Fo365%5FCC%5FDDM%2FCC%5FDDM%5FD%2FACUERDOS%20DE%20GESTION%2F2022%2FEVIDENCIAS%20II%20SEMESTRE%20%2D%202109%20A%203112%2F2%2E%20MECANISMOS%20COMUNICACION%2F2%2E2%2Fvig%20post&amp;viewid=e8a78d4d%2D2054%2D4344%2D8647%2D176dec0d318a" TargetMode="External"/><Relationship Id="rId4" Type="http://schemas.openxmlformats.org/officeDocument/2006/relationships/hyperlink" Target="../../../Forms/AllItems.aspx?id=%2Fsites%2Fo365%5FCC%5FDDM%2FCC%5FDDM%5FD%2FACUERDOS%20DE%20GESTION%2F2022%2FEVIDENCIAS%20II%20SEMESTRE%20%2D%202109%20A%203112%2F1%2E%20RECONOCIMIENTO%20INTERNACIONAL%2F1%2E1&amp;viewid=e8a78d4d%2D2054%2D4344%2D8647%2D176dec0d318a" TargetMode="External"/><Relationship Id="rId9"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74" t="s">
        <v>0</v>
      </c>
      <c r="C2" s="274"/>
      <c r="D2" s="274"/>
      <c r="E2" s="274"/>
      <c r="F2" s="274"/>
      <c r="G2" s="274"/>
      <c r="H2" s="274"/>
      <c r="I2" s="274"/>
    </row>
    <row r="3" spans="1:9" x14ac:dyDescent="0.25">
      <c r="B3" s="290" t="s">
        <v>1</v>
      </c>
      <c r="C3" s="290"/>
      <c r="D3" s="290"/>
      <c r="E3" s="290"/>
      <c r="F3" s="290"/>
      <c r="G3" s="290"/>
      <c r="H3" s="290"/>
      <c r="I3" s="290"/>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84" t="s">
        <v>11</v>
      </c>
      <c r="D9" s="5" t="s">
        <v>12</v>
      </c>
      <c r="F9" s="7"/>
      <c r="I9" s="7"/>
    </row>
    <row r="10" spans="1:9" x14ac:dyDescent="0.25">
      <c r="C10" s="284"/>
      <c r="D10" s="5" t="s">
        <v>13</v>
      </c>
    </row>
    <row r="12" spans="1:9" x14ac:dyDescent="0.25">
      <c r="A12" s="285" t="s">
        <v>14</v>
      </c>
      <c r="B12" s="286"/>
      <c r="C12" s="286"/>
      <c r="D12" s="286"/>
      <c r="E12" s="286"/>
      <c r="F12" s="286"/>
      <c r="G12" s="286"/>
      <c r="H12" s="286"/>
      <c r="I12" s="287"/>
    </row>
    <row r="13" spans="1:9" x14ac:dyDescent="0.25">
      <c r="A13" s="285" t="s">
        <v>15</v>
      </c>
      <c r="B13" s="286"/>
      <c r="C13" s="286"/>
      <c r="D13" s="286"/>
      <c r="E13" s="286"/>
      <c r="F13" s="286"/>
      <c r="G13" s="286"/>
      <c r="H13" s="286"/>
      <c r="I13" s="287"/>
    </row>
    <row r="14" spans="1:9" x14ac:dyDescent="0.25">
      <c r="A14" s="291"/>
      <c r="B14" s="292"/>
      <c r="C14" s="292"/>
      <c r="D14" s="292"/>
      <c r="E14" s="292"/>
      <c r="F14" s="292"/>
      <c r="G14" s="293"/>
      <c r="H14" s="282" t="s">
        <v>16</v>
      </c>
      <c r="I14" s="283"/>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88" t="s">
        <v>26</v>
      </c>
      <c r="B16" s="289">
        <v>0.3</v>
      </c>
      <c r="C16" s="281" t="s">
        <v>27</v>
      </c>
      <c r="D16" s="9" t="s">
        <v>28</v>
      </c>
      <c r="E16" s="275">
        <v>4</v>
      </c>
      <c r="F16" s="275" t="s">
        <v>29</v>
      </c>
      <c r="G16" s="281" t="s">
        <v>30</v>
      </c>
      <c r="H16" s="275"/>
      <c r="I16" s="297"/>
    </row>
    <row r="17" spans="1:9" ht="56.25" customHeight="1" x14ac:dyDescent="0.25">
      <c r="A17" s="288"/>
      <c r="B17" s="288"/>
      <c r="C17" s="281"/>
      <c r="D17" s="10" t="s">
        <v>31</v>
      </c>
      <c r="E17" s="276"/>
      <c r="F17" s="276"/>
      <c r="G17" s="281"/>
      <c r="H17" s="276"/>
      <c r="I17" s="297"/>
    </row>
    <row r="18" spans="1:9" ht="25.5" customHeight="1" x14ac:dyDescent="0.25">
      <c r="A18" s="288"/>
      <c r="B18" s="288"/>
      <c r="C18" s="281"/>
      <c r="D18" s="10" t="s">
        <v>32</v>
      </c>
      <c r="E18" s="276"/>
      <c r="F18" s="276"/>
      <c r="G18" s="281"/>
      <c r="H18" s="276"/>
      <c r="I18" s="297"/>
    </row>
    <row r="19" spans="1:9" ht="49.5" customHeight="1" x14ac:dyDescent="0.25">
      <c r="A19" s="288"/>
      <c r="B19" s="288"/>
      <c r="C19" s="281"/>
      <c r="D19" s="10" t="s">
        <v>33</v>
      </c>
      <c r="E19" s="277"/>
      <c r="F19" s="277"/>
      <c r="G19" s="281"/>
      <c r="H19" s="277"/>
      <c r="I19" s="297"/>
    </row>
    <row r="20" spans="1:9" ht="82.5" customHeight="1" x14ac:dyDescent="0.25">
      <c r="A20" s="294" t="s">
        <v>34</v>
      </c>
      <c r="B20" s="278">
        <v>0.3</v>
      </c>
      <c r="C20" s="275" t="s">
        <v>35</v>
      </c>
      <c r="D20" s="10" t="s">
        <v>36</v>
      </c>
      <c r="E20" s="275">
        <v>20</v>
      </c>
      <c r="F20" s="275" t="s">
        <v>37</v>
      </c>
      <c r="G20" s="88" t="s">
        <v>38</v>
      </c>
      <c r="H20" s="275"/>
      <c r="I20" s="298"/>
    </row>
    <row r="21" spans="1:9" ht="68.25" customHeight="1" x14ac:dyDescent="0.25">
      <c r="A21" s="295"/>
      <c r="B21" s="279"/>
      <c r="C21" s="276"/>
      <c r="D21" s="10" t="s">
        <v>39</v>
      </c>
      <c r="E21" s="276"/>
      <c r="F21" s="276"/>
      <c r="G21" s="88" t="s">
        <v>40</v>
      </c>
      <c r="H21" s="276"/>
      <c r="I21" s="299"/>
    </row>
    <row r="22" spans="1:9" ht="66" customHeight="1" x14ac:dyDescent="0.25">
      <c r="A22" s="296"/>
      <c r="B22" s="280"/>
      <c r="C22" s="277"/>
      <c r="D22" s="10" t="s">
        <v>41</v>
      </c>
      <c r="E22" s="277"/>
      <c r="F22" s="277"/>
      <c r="G22" s="88" t="s">
        <v>42</v>
      </c>
      <c r="H22" s="277"/>
      <c r="I22" s="300"/>
    </row>
    <row r="23" spans="1:9" ht="97.5" customHeight="1" x14ac:dyDescent="0.25">
      <c r="A23" s="294" t="s">
        <v>43</v>
      </c>
      <c r="B23" s="278">
        <v>0.4</v>
      </c>
      <c r="C23" s="275" t="s">
        <v>44</v>
      </c>
      <c r="D23" s="10" t="s">
        <v>45</v>
      </c>
      <c r="E23" s="275">
        <v>15</v>
      </c>
      <c r="F23" s="275" t="s">
        <v>29</v>
      </c>
      <c r="G23" s="275" t="s">
        <v>42</v>
      </c>
      <c r="H23" s="275"/>
      <c r="I23" s="298"/>
    </row>
    <row r="24" spans="1:9" ht="55.5" customHeight="1" x14ac:dyDescent="0.25">
      <c r="A24" s="295"/>
      <c r="B24" s="279"/>
      <c r="C24" s="276"/>
      <c r="D24" s="10" t="s">
        <v>46</v>
      </c>
      <c r="E24" s="276"/>
      <c r="F24" s="276"/>
      <c r="G24" s="276"/>
      <c r="H24" s="276"/>
      <c r="I24" s="299"/>
    </row>
    <row r="25" spans="1:9" ht="55.5" customHeight="1" x14ac:dyDescent="0.25">
      <c r="A25" s="296"/>
      <c r="B25" s="280"/>
      <c r="C25" s="277"/>
      <c r="D25" s="10" t="s">
        <v>47</v>
      </c>
      <c r="E25" s="277"/>
      <c r="F25" s="277"/>
      <c r="G25" s="277"/>
      <c r="H25" s="277"/>
      <c r="I25" s="300"/>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303"/>
      <c r="D28" s="304"/>
      <c r="E28" s="93"/>
      <c r="F28" s="304"/>
      <c r="G28" s="306"/>
      <c r="H28" s="21"/>
    </row>
    <row r="29" spans="1:9" ht="15.75" thickBot="1" x14ac:dyDescent="0.3">
      <c r="A29" s="12"/>
      <c r="C29" s="301" t="s">
        <v>49</v>
      </c>
      <c r="D29" s="302"/>
      <c r="E29" s="92"/>
      <c r="F29" s="302" t="s">
        <v>50</v>
      </c>
      <c r="G29" s="305"/>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52"/>
  <sheetViews>
    <sheetView topLeftCell="C26" zoomScale="50" zoomScaleNormal="50" zoomScaleSheetLayoutView="40" zoomScalePageLayoutView="50" workbookViewId="0">
      <selection activeCell="D31" sqref="D31:E31"/>
    </sheetView>
  </sheetViews>
  <sheetFormatPr baseColWidth="10" defaultColWidth="10.85546875" defaultRowHeight="18.75" x14ac:dyDescent="0.3"/>
  <cols>
    <col min="1" max="1" width="4.28515625" style="133" customWidth="1"/>
    <col min="2" max="2" width="13" style="166" bestFit="1" customWidth="1"/>
    <col min="3" max="3" width="41.42578125" style="133" customWidth="1"/>
    <col min="4" max="4" width="56.7109375" style="133" customWidth="1"/>
    <col min="5" max="5" width="28.85546875" style="133" hidden="1" customWidth="1"/>
    <col min="6" max="6" width="29.7109375" style="133" hidden="1" customWidth="1"/>
    <col min="7" max="7" width="95" style="133" customWidth="1"/>
    <col min="8" max="8" width="32" style="133" customWidth="1"/>
    <col min="9" max="9" width="34.140625" style="133" customWidth="1"/>
    <col min="10" max="11" width="41.140625" style="133" customWidth="1"/>
    <col min="12" max="12" width="182.85546875" style="133" customWidth="1"/>
    <col min="13" max="13" width="41.140625" style="224" customWidth="1"/>
    <col min="14" max="16" width="41.140625" style="133" customWidth="1"/>
    <col min="17" max="17" width="38.85546875" style="133" customWidth="1"/>
    <col min="18" max="18" width="33.140625" style="167" customWidth="1"/>
    <col min="19" max="19" width="146.140625" style="167" customWidth="1"/>
    <col min="20" max="20" width="117.5703125" style="133" customWidth="1"/>
    <col min="21" max="21" width="50" style="133" customWidth="1"/>
    <col min="22" max="22" width="3.7109375" style="133" customWidth="1"/>
    <col min="23" max="16384" width="10.85546875" style="133"/>
  </cols>
  <sheetData>
    <row r="1" spans="1:24" ht="132" customHeight="1" thickBot="1" x14ac:dyDescent="0.5">
      <c r="A1" s="128"/>
      <c r="B1" s="129"/>
      <c r="C1" s="130"/>
      <c r="D1" s="130"/>
      <c r="E1" s="130"/>
      <c r="F1" s="432"/>
      <c r="G1" s="131"/>
      <c r="H1" s="434"/>
      <c r="I1" s="130"/>
      <c r="J1" s="130"/>
      <c r="K1" s="130"/>
      <c r="L1" s="130"/>
      <c r="M1" s="211">
        <v>1</v>
      </c>
      <c r="N1" s="212">
        <v>1</v>
      </c>
      <c r="O1" s="212"/>
      <c r="P1" s="213">
        <f>1/183</f>
        <v>5.4644808743169399E-3</v>
      </c>
      <c r="Q1" s="214">
        <v>81</v>
      </c>
      <c r="R1" s="215">
        <f>+P1*81</f>
        <v>0.44262295081967212</v>
      </c>
      <c r="S1" s="218"/>
      <c r="T1" s="216">
        <f>183-Q1</f>
        <v>102</v>
      </c>
      <c r="U1" s="217">
        <f>1-R1</f>
        <v>0.55737704918032782</v>
      </c>
      <c r="V1" s="128"/>
      <c r="W1" s="128"/>
      <c r="X1" s="128"/>
    </row>
    <row r="2" spans="1:24" ht="7.5" hidden="1" customHeight="1" x14ac:dyDescent="0.25">
      <c r="A2" s="128"/>
      <c r="B2" s="129"/>
      <c r="C2" s="130"/>
      <c r="D2" s="130"/>
      <c r="E2" s="130"/>
      <c r="F2" s="433"/>
      <c r="G2" s="134"/>
      <c r="H2" s="434"/>
      <c r="I2" s="130"/>
      <c r="J2" s="130"/>
      <c r="K2" s="130"/>
      <c r="L2" s="130"/>
      <c r="M2" s="134"/>
      <c r="N2" s="130"/>
      <c r="O2" s="130"/>
      <c r="P2" s="130"/>
      <c r="Q2" s="130"/>
      <c r="R2" s="132"/>
      <c r="S2" s="132"/>
      <c r="T2" s="130"/>
      <c r="U2" s="130"/>
      <c r="V2" s="128"/>
      <c r="W2" s="128"/>
      <c r="X2" s="128"/>
    </row>
    <row r="3" spans="1:24" ht="26.25" hidden="1" x14ac:dyDescent="0.25">
      <c r="A3" s="128"/>
      <c r="B3" s="129"/>
      <c r="C3" s="130"/>
      <c r="D3" s="130"/>
      <c r="E3" s="130"/>
      <c r="F3" s="130"/>
      <c r="G3" s="130"/>
      <c r="H3" s="130"/>
      <c r="I3" s="130"/>
      <c r="J3" s="130"/>
      <c r="K3" s="130"/>
      <c r="L3" s="130"/>
      <c r="M3" s="134"/>
      <c r="N3" s="130"/>
      <c r="O3" s="130"/>
      <c r="P3" s="130"/>
      <c r="Q3" s="130"/>
      <c r="R3" s="132"/>
      <c r="S3" s="132"/>
      <c r="T3" s="130"/>
      <c r="U3" s="130"/>
      <c r="V3" s="128"/>
      <c r="W3" s="128"/>
      <c r="X3" s="128"/>
    </row>
    <row r="4" spans="1:24" ht="64.5" customHeight="1" thickBot="1" x14ac:dyDescent="0.3">
      <c r="A4" s="128"/>
      <c r="B4" s="435" t="s">
        <v>176</v>
      </c>
      <c r="C4" s="436"/>
      <c r="D4" s="436"/>
      <c r="E4" s="436"/>
      <c r="F4" s="436"/>
      <c r="G4" s="436"/>
      <c r="H4" s="436"/>
      <c r="I4" s="436"/>
      <c r="J4" s="436"/>
      <c r="K4" s="436"/>
      <c r="L4" s="436"/>
      <c r="M4" s="436"/>
      <c r="N4" s="436"/>
      <c r="O4" s="436"/>
      <c r="P4" s="436"/>
      <c r="Q4" s="436"/>
      <c r="R4" s="436"/>
      <c r="S4" s="436"/>
      <c r="T4" s="436"/>
      <c r="U4" s="437"/>
      <c r="V4" s="128"/>
      <c r="W4" s="128"/>
      <c r="X4" s="128"/>
    </row>
    <row r="5" spans="1:24" ht="35.25" customHeight="1" thickBot="1" x14ac:dyDescent="0.3">
      <c r="A5" s="128"/>
      <c r="B5" s="438" t="s">
        <v>177</v>
      </c>
      <c r="C5" s="439"/>
      <c r="D5" s="439"/>
      <c r="E5" s="439"/>
      <c r="F5" s="439"/>
      <c r="G5" s="439"/>
      <c r="H5" s="440"/>
      <c r="I5" s="193"/>
      <c r="J5" s="193"/>
      <c r="K5" s="439"/>
      <c r="L5" s="439"/>
      <c r="M5" s="439"/>
      <c r="N5" s="439"/>
      <c r="O5" s="439"/>
      <c r="P5" s="440"/>
      <c r="Q5" s="438" t="s">
        <v>178</v>
      </c>
      <c r="R5" s="441"/>
      <c r="S5" s="441"/>
      <c r="T5" s="441"/>
      <c r="U5" s="442"/>
      <c r="V5" s="128"/>
      <c r="W5" s="128"/>
      <c r="X5" s="128"/>
    </row>
    <row r="6" spans="1:24" s="136" customFormat="1" ht="56.25" customHeight="1" thickBot="1" x14ac:dyDescent="0.5">
      <c r="A6" s="128"/>
      <c r="B6" s="431" t="s">
        <v>17</v>
      </c>
      <c r="C6" s="443" t="s">
        <v>179</v>
      </c>
      <c r="D6" s="445" t="s">
        <v>180</v>
      </c>
      <c r="E6" s="445" t="s">
        <v>181</v>
      </c>
      <c r="F6" s="445" t="s">
        <v>182</v>
      </c>
      <c r="G6" s="446" t="s">
        <v>61</v>
      </c>
      <c r="H6" s="495" t="s">
        <v>183</v>
      </c>
      <c r="I6" s="496"/>
      <c r="J6" s="500" t="s">
        <v>184</v>
      </c>
      <c r="K6" s="500"/>
      <c r="L6" s="500"/>
      <c r="M6" s="500"/>
      <c r="N6" s="500"/>
      <c r="O6" s="500"/>
      <c r="P6" s="501"/>
      <c r="Q6" s="445" t="s">
        <v>185</v>
      </c>
      <c r="R6" s="502" t="s">
        <v>186</v>
      </c>
      <c r="S6" s="207"/>
      <c r="T6" s="445" t="s">
        <v>79</v>
      </c>
      <c r="U6" s="445"/>
      <c r="V6" s="128"/>
      <c r="W6" s="128"/>
      <c r="X6" s="128"/>
    </row>
    <row r="7" spans="1:24" s="139" customFormat="1" ht="129" customHeight="1" thickBot="1" x14ac:dyDescent="0.5">
      <c r="A7" s="128"/>
      <c r="B7" s="431"/>
      <c r="C7" s="444"/>
      <c r="D7" s="445"/>
      <c r="E7" s="445"/>
      <c r="F7" s="445"/>
      <c r="G7" s="445"/>
      <c r="H7" s="194" t="s">
        <v>187</v>
      </c>
      <c r="I7" s="195" t="s">
        <v>188</v>
      </c>
      <c r="J7" s="137" t="s">
        <v>189</v>
      </c>
      <c r="K7" s="137" t="s">
        <v>190</v>
      </c>
      <c r="L7" s="137" t="s">
        <v>191</v>
      </c>
      <c r="M7" s="196" t="s">
        <v>192</v>
      </c>
      <c r="N7" s="137" t="s">
        <v>193</v>
      </c>
      <c r="O7" s="137" t="s">
        <v>194</v>
      </c>
      <c r="P7" s="137" t="s">
        <v>194</v>
      </c>
      <c r="Q7" s="445"/>
      <c r="R7" s="502"/>
      <c r="S7" s="137" t="s">
        <v>191</v>
      </c>
      <c r="T7" s="138" t="s">
        <v>195</v>
      </c>
      <c r="U7" s="138" t="s">
        <v>120</v>
      </c>
      <c r="V7" s="128"/>
      <c r="W7" s="128"/>
      <c r="X7" s="128"/>
    </row>
    <row r="8" spans="1:24" ht="204.75" customHeight="1" x14ac:dyDescent="0.25">
      <c r="A8" s="128"/>
      <c r="B8" s="424">
        <v>1</v>
      </c>
      <c r="C8" s="453" t="s">
        <v>196</v>
      </c>
      <c r="D8" s="454" t="s">
        <v>197</v>
      </c>
      <c r="E8" s="422">
        <v>1</v>
      </c>
      <c r="F8" s="460" t="s">
        <v>198</v>
      </c>
      <c r="G8" s="197" t="s">
        <v>199</v>
      </c>
      <c r="H8" s="422">
        <v>0.15</v>
      </c>
      <c r="I8" s="200">
        <v>0.35</v>
      </c>
      <c r="J8" s="427">
        <v>0.3</v>
      </c>
      <c r="K8" s="430">
        <f>(AVERAGE(I8:I10)*H8)/H8</f>
        <v>0.33333333333333331</v>
      </c>
      <c r="L8" s="204" t="s">
        <v>200</v>
      </c>
      <c r="M8" s="203">
        <f>IF((I8)&lt;=0%,"0%",SUM(100%-I8))*$M$1</f>
        <v>0.65</v>
      </c>
      <c r="N8" s="457">
        <v>0.7</v>
      </c>
      <c r="O8" s="243"/>
      <c r="P8" s="457">
        <f>IFERROR((AVERAGE(M8:M10)*H8)/H8,0)</f>
        <v>0.66666666666666663</v>
      </c>
      <c r="Q8" s="412">
        <f>IF(SUM(K8,P8)&gt;100%,"NO PERMITIDO",SUM(K8,P8))</f>
        <v>1</v>
      </c>
      <c r="R8" s="415">
        <f>H8*Q8/100%</f>
        <v>0.15</v>
      </c>
      <c r="S8" s="253" t="s">
        <v>379</v>
      </c>
      <c r="T8" s="253" t="s">
        <v>201</v>
      </c>
      <c r="U8" s="461" t="s">
        <v>202</v>
      </c>
      <c r="V8" s="128"/>
      <c r="W8" s="128"/>
      <c r="X8" s="128"/>
    </row>
    <row r="9" spans="1:24" ht="175.5" customHeight="1" x14ac:dyDescent="0.25">
      <c r="A9" s="128"/>
      <c r="B9" s="425"/>
      <c r="C9" s="419"/>
      <c r="D9" s="455"/>
      <c r="E9" s="419"/>
      <c r="F9" s="419"/>
      <c r="G9" s="192" t="s">
        <v>203</v>
      </c>
      <c r="H9" s="419"/>
      <c r="I9" s="198">
        <v>0.35</v>
      </c>
      <c r="J9" s="428"/>
      <c r="K9" s="430"/>
      <c r="L9" s="205" t="s">
        <v>204</v>
      </c>
      <c r="M9" s="206">
        <f t="shared" ref="M9:M20" si="0">IF((I9)&lt;=0%,"0%",SUM(100%-I9))*$M$1</f>
        <v>0.65</v>
      </c>
      <c r="N9" s="458"/>
      <c r="O9" s="244"/>
      <c r="P9" s="458"/>
      <c r="Q9" s="413"/>
      <c r="R9" s="416"/>
      <c r="S9" s="244" t="s">
        <v>205</v>
      </c>
      <c r="T9" s="244" t="s">
        <v>206</v>
      </c>
      <c r="U9" s="462"/>
      <c r="V9" s="128"/>
      <c r="W9" s="128"/>
      <c r="X9" s="128"/>
    </row>
    <row r="10" spans="1:24" ht="104.25" customHeight="1" x14ac:dyDescent="0.25">
      <c r="A10" s="128"/>
      <c r="B10" s="426"/>
      <c r="C10" s="423"/>
      <c r="D10" s="456"/>
      <c r="E10" s="423"/>
      <c r="F10" s="423"/>
      <c r="G10" s="232" t="s">
        <v>207</v>
      </c>
      <c r="H10" s="423"/>
      <c r="I10" s="233">
        <v>0.3</v>
      </c>
      <c r="J10" s="429"/>
      <c r="K10" s="430"/>
      <c r="L10" s="229" t="s">
        <v>208</v>
      </c>
      <c r="M10" s="206">
        <f t="shared" si="0"/>
        <v>0.7</v>
      </c>
      <c r="N10" s="459"/>
      <c r="O10" s="245"/>
      <c r="P10" s="459"/>
      <c r="Q10" s="414"/>
      <c r="R10" s="417"/>
      <c r="S10" s="246" t="s">
        <v>209</v>
      </c>
      <c r="T10" s="246" t="s">
        <v>210</v>
      </c>
      <c r="U10" s="463"/>
      <c r="V10" s="128"/>
      <c r="W10" s="128"/>
      <c r="X10" s="128"/>
    </row>
    <row r="11" spans="1:24" ht="152.25" customHeight="1" x14ac:dyDescent="0.25">
      <c r="A11" s="128"/>
      <c r="B11" s="418">
        <v>2</v>
      </c>
      <c r="C11" s="419" t="s">
        <v>196</v>
      </c>
      <c r="D11" s="419" t="s">
        <v>211</v>
      </c>
      <c r="E11" s="420">
        <v>1</v>
      </c>
      <c r="F11" s="421" t="s">
        <v>198</v>
      </c>
      <c r="G11" s="192" t="s">
        <v>212</v>
      </c>
      <c r="H11" s="450">
        <v>0.35</v>
      </c>
      <c r="I11" s="254">
        <v>0.4</v>
      </c>
      <c r="J11" s="420">
        <v>0.4</v>
      </c>
      <c r="K11" s="450">
        <f>(AVERAGE(I11:I13)*H11)/H11</f>
        <v>0.40000000000000008</v>
      </c>
      <c r="L11" s="205" t="s">
        <v>213</v>
      </c>
      <c r="M11" s="206">
        <f t="shared" si="0"/>
        <v>0.6</v>
      </c>
      <c r="N11" s="450">
        <v>0.6</v>
      </c>
      <c r="O11" s="248"/>
      <c r="P11" s="451">
        <f>IFERROR((AVERAGE(M11:M13)*H11)/H11,0)</f>
        <v>0.6</v>
      </c>
      <c r="Q11" s="486">
        <f>IF(SUM(K11,P11)&gt;100%,"NO PERMITIDO",SUM(K11,P11))</f>
        <v>1</v>
      </c>
      <c r="R11" s="498">
        <f>H11*Q11/100%</f>
        <v>0.35</v>
      </c>
      <c r="S11" s="265" t="s">
        <v>378</v>
      </c>
      <c r="T11" s="247" t="s">
        <v>214</v>
      </c>
      <c r="U11" s="257" t="s">
        <v>215</v>
      </c>
      <c r="V11" s="128"/>
      <c r="W11" s="128"/>
      <c r="X11" s="128"/>
    </row>
    <row r="12" spans="1:24" ht="123" customHeight="1" x14ac:dyDescent="0.25">
      <c r="A12" s="128"/>
      <c r="B12" s="418"/>
      <c r="C12" s="419"/>
      <c r="D12" s="419"/>
      <c r="E12" s="420"/>
      <c r="F12" s="421"/>
      <c r="G12" s="192" t="s">
        <v>216</v>
      </c>
      <c r="H12" s="450"/>
      <c r="I12" s="198">
        <v>0.4</v>
      </c>
      <c r="J12" s="420"/>
      <c r="K12" s="450"/>
      <c r="L12" s="205" t="s">
        <v>217</v>
      </c>
      <c r="M12" s="206">
        <f t="shared" si="0"/>
        <v>0.6</v>
      </c>
      <c r="N12" s="450"/>
      <c r="O12" s="248"/>
      <c r="P12" s="451"/>
      <c r="Q12" s="486"/>
      <c r="R12" s="498"/>
      <c r="S12" s="266" t="s">
        <v>218</v>
      </c>
      <c r="T12" s="249" t="s">
        <v>219</v>
      </c>
      <c r="U12" s="258" t="s">
        <v>220</v>
      </c>
      <c r="V12" s="128"/>
      <c r="W12" s="128"/>
      <c r="X12" s="128"/>
    </row>
    <row r="13" spans="1:24" ht="127.5" customHeight="1" x14ac:dyDescent="0.25">
      <c r="A13" s="128"/>
      <c r="B13" s="230"/>
      <c r="C13" s="419"/>
      <c r="D13" s="419"/>
      <c r="E13" s="420"/>
      <c r="F13" s="421"/>
      <c r="G13" s="192" t="s">
        <v>221</v>
      </c>
      <c r="H13" s="450"/>
      <c r="I13" s="198">
        <v>0.4</v>
      </c>
      <c r="J13" s="420"/>
      <c r="K13" s="450"/>
      <c r="L13" s="238" t="s">
        <v>222</v>
      </c>
      <c r="M13" s="206">
        <f t="shared" si="0"/>
        <v>0.6</v>
      </c>
      <c r="N13" s="450"/>
      <c r="O13" s="248"/>
      <c r="P13" s="451"/>
      <c r="Q13" s="486"/>
      <c r="R13" s="499"/>
      <c r="S13" s="267" t="s">
        <v>223</v>
      </c>
      <c r="T13" s="250" t="s">
        <v>224</v>
      </c>
      <c r="U13" s="259" t="s">
        <v>225</v>
      </c>
      <c r="V13" s="128"/>
      <c r="W13" s="128"/>
      <c r="X13" s="128"/>
    </row>
    <row r="14" spans="1:24" ht="117" customHeight="1" x14ac:dyDescent="0.25">
      <c r="A14" s="128"/>
      <c r="B14" s="418">
        <v>3</v>
      </c>
      <c r="C14" s="419" t="s">
        <v>226</v>
      </c>
      <c r="D14" s="455" t="s">
        <v>227</v>
      </c>
      <c r="E14" s="420">
        <v>1</v>
      </c>
      <c r="F14" s="421" t="s">
        <v>198</v>
      </c>
      <c r="G14" s="239" t="s">
        <v>228</v>
      </c>
      <c r="H14" s="450">
        <v>0.25</v>
      </c>
      <c r="I14" s="198">
        <v>0.3</v>
      </c>
      <c r="J14" s="420">
        <v>0.3</v>
      </c>
      <c r="K14" s="450">
        <f>(AVERAGE(I14:I17)*H14)/H14</f>
        <v>0.3</v>
      </c>
      <c r="L14" s="455" t="s">
        <v>229</v>
      </c>
      <c r="M14" s="206">
        <f t="shared" si="0"/>
        <v>0.7</v>
      </c>
      <c r="N14" s="450">
        <v>0.7</v>
      </c>
      <c r="O14" s="248">
        <v>0.7</v>
      </c>
      <c r="P14" s="451">
        <f>IFERROR((AVERAGE(M14:M17)*H14)/H14,0)</f>
        <v>0.7</v>
      </c>
      <c r="Q14" s="452">
        <f>IF(SUM(K14,P14)&gt;100%,"NO PERMITIDO",SUM(K14,P14))</f>
        <v>1</v>
      </c>
      <c r="R14" s="464">
        <f>H14*Q14/100%</f>
        <v>0.25</v>
      </c>
      <c r="S14" s="272" t="s">
        <v>230</v>
      </c>
      <c r="T14" s="268" t="s">
        <v>231</v>
      </c>
      <c r="U14" s="447" t="s">
        <v>232</v>
      </c>
      <c r="V14" s="128"/>
      <c r="W14" s="128"/>
      <c r="X14" s="128"/>
    </row>
    <row r="15" spans="1:24" ht="113.25" customHeight="1" x14ac:dyDescent="0.25">
      <c r="A15" s="128"/>
      <c r="B15" s="418"/>
      <c r="C15" s="419"/>
      <c r="D15" s="455"/>
      <c r="E15" s="419"/>
      <c r="F15" s="419"/>
      <c r="G15" s="239" t="s">
        <v>233</v>
      </c>
      <c r="H15" s="450"/>
      <c r="I15" s="198">
        <v>0.3</v>
      </c>
      <c r="J15" s="419"/>
      <c r="K15" s="450"/>
      <c r="L15" s="455"/>
      <c r="M15" s="206">
        <f t="shared" si="0"/>
        <v>0.7</v>
      </c>
      <c r="N15" s="450"/>
      <c r="O15" s="248">
        <v>0.7</v>
      </c>
      <c r="P15" s="451"/>
      <c r="Q15" s="452"/>
      <c r="R15" s="464"/>
      <c r="S15" s="272" t="s">
        <v>234</v>
      </c>
      <c r="T15" s="269" t="s">
        <v>235</v>
      </c>
      <c r="U15" s="448"/>
      <c r="V15" s="128"/>
      <c r="W15" s="128"/>
      <c r="X15" s="128"/>
    </row>
    <row r="16" spans="1:24" ht="129.75" customHeight="1" x14ac:dyDescent="0.25">
      <c r="A16" s="128"/>
      <c r="B16" s="418"/>
      <c r="C16" s="419"/>
      <c r="D16" s="455"/>
      <c r="E16" s="419"/>
      <c r="F16" s="419"/>
      <c r="G16" s="239" t="s">
        <v>236</v>
      </c>
      <c r="H16" s="450"/>
      <c r="I16" s="198">
        <v>0.3</v>
      </c>
      <c r="J16" s="419"/>
      <c r="K16" s="450"/>
      <c r="L16" s="455"/>
      <c r="M16" s="206">
        <f t="shared" si="0"/>
        <v>0.7</v>
      </c>
      <c r="N16" s="450"/>
      <c r="O16" s="248">
        <v>0.7</v>
      </c>
      <c r="P16" s="451"/>
      <c r="Q16" s="452"/>
      <c r="R16" s="464"/>
      <c r="S16" s="272" t="s">
        <v>237</v>
      </c>
      <c r="T16" s="270" t="s">
        <v>238</v>
      </c>
      <c r="U16" s="448"/>
      <c r="V16" s="128"/>
      <c r="W16" s="128"/>
      <c r="X16" s="128"/>
    </row>
    <row r="17" spans="1:24" ht="143.25" customHeight="1" thickBot="1" x14ac:dyDescent="0.3">
      <c r="A17" s="128"/>
      <c r="B17" s="418"/>
      <c r="C17" s="419"/>
      <c r="D17" s="455"/>
      <c r="E17" s="419"/>
      <c r="F17" s="419"/>
      <c r="G17" s="239" t="s">
        <v>239</v>
      </c>
      <c r="H17" s="450"/>
      <c r="I17" s="198">
        <v>0.3</v>
      </c>
      <c r="J17" s="419"/>
      <c r="K17" s="450"/>
      <c r="L17" s="455"/>
      <c r="M17" s="206">
        <f t="shared" si="0"/>
        <v>0.7</v>
      </c>
      <c r="N17" s="450"/>
      <c r="O17" s="248">
        <v>0.7</v>
      </c>
      <c r="P17" s="451"/>
      <c r="Q17" s="452"/>
      <c r="R17" s="464"/>
      <c r="S17" s="272" t="s">
        <v>240</v>
      </c>
      <c r="T17" s="271" t="s">
        <v>241</v>
      </c>
      <c r="U17" s="449"/>
      <c r="V17" s="128"/>
      <c r="W17" s="128"/>
      <c r="X17" s="128"/>
    </row>
    <row r="18" spans="1:24" ht="134.25" customHeight="1" x14ac:dyDescent="0.25">
      <c r="A18" s="128"/>
      <c r="B18" s="418">
        <v>4</v>
      </c>
      <c r="C18" s="419" t="s">
        <v>242</v>
      </c>
      <c r="D18" s="455" t="s">
        <v>243</v>
      </c>
      <c r="E18" s="420">
        <v>1</v>
      </c>
      <c r="F18" s="421" t="s">
        <v>198</v>
      </c>
      <c r="G18" s="239" t="s">
        <v>244</v>
      </c>
      <c r="H18" s="450">
        <v>0.25</v>
      </c>
      <c r="I18" s="198">
        <v>0.3</v>
      </c>
      <c r="J18" s="420">
        <v>0.3</v>
      </c>
      <c r="K18" s="450">
        <f>(AVERAGE(I18:I20)*H18)/H18</f>
        <v>0.3</v>
      </c>
      <c r="L18" s="465" t="s">
        <v>245</v>
      </c>
      <c r="M18" s="206">
        <f t="shared" si="0"/>
        <v>0.7</v>
      </c>
      <c r="N18" s="450">
        <v>0.7</v>
      </c>
      <c r="O18" s="248"/>
      <c r="P18" s="451">
        <f>IFERROR((AVERAGE(M18:M20)*H18)/H18,0)</f>
        <v>0.69999999999999984</v>
      </c>
      <c r="Q18" s="452">
        <f>IF(SUM(K18,P18)&gt;100%,"NO PERMITIDO",SUM(K18,P18))</f>
        <v>0.99999999999999978</v>
      </c>
      <c r="R18" s="464">
        <f>H18*Q18/100%</f>
        <v>0.24999999999999994</v>
      </c>
      <c r="S18" s="255" t="s">
        <v>246</v>
      </c>
      <c r="T18" s="251" t="s">
        <v>247</v>
      </c>
      <c r="U18" s="260" t="s">
        <v>248</v>
      </c>
      <c r="V18" s="128"/>
      <c r="W18" s="128"/>
      <c r="X18" s="128"/>
    </row>
    <row r="19" spans="1:24" ht="91.5" customHeight="1" x14ac:dyDescent="0.25">
      <c r="A19" s="128"/>
      <c r="B19" s="418"/>
      <c r="C19" s="419"/>
      <c r="D19" s="455"/>
      <c r="E19" s="419"/>
      <c r="F19" s="419"/>
      <c r="G19" s="239" t="s">
        <v>249</v>
      </c>
      <c r="H19" s="450"/>
      <c r="I19" s="198">
        <v>0.3</v>
      </c>
      <c r="J19" s="419"/>
      <c r="K19" s="450"/>
      <c r="L19" s="466"/>
      <c r="M19" s="206">
        <f t="shared" si="0"/>
        <v>0.7</v>
      </c>
      <c r="N19" s="450"/>
      <c r="O19" s="248"/>
      <c r="P19" s="451"/>
      <c r="Q19" s="452"/>
      <c r="R19" s="464"/>
      <c r="S19" s="256" t="s">
        <v>250</v>
      </c>
      <c r="T19" s="244" t="s">
        <v>251</v>
      </c>
      <c r="U19" s="261" t="s">
        <v>252</v>
      </c>
      <c r="V19" s="128"/>
      <c r="W19" s="128"/>
      <c r="X19" s="128"/>
    </row>
    <row r="20" spans="1:24" ht="115.5" customHeight="1" thickBot="1" x14ac:dyDescent="0.3">
      <c r="A20" s="128"/>
      <c r="B20" s="418"/>
      <c r="C20" s="419"/>
      <c r="D20" s="455"/>
      <c r="E20" s="419"/>
      <c r="F20" s="419"/>
      <c r="G20" s="239" t="s">
        <v>253</v>
      </c>
      <c r="H20" s="450"/>
      <c r="I20" s="198">
        <v>0.3</v>
      </c>
      <c r="J20" s="419"/>
      <c r="K20" s="450"/>
      <c r="L20" s="466"/>
      <c r="M20" s="206">
        <f t="shared" si="0"/>
        <v>0.7</v>
      </c>
      <c r="N20" s="450"/>
      <c r="O20" s="248"/>
      <c r="P20" s="451"/>
      <c r="Q20" s="452"/>
      <c r="R20" s="464"/>
      <c r="S20" s="256" t="s">
        <v>254</v>
      </c>
      <c r="T20" s="244" t="s">
        <v>255</v>
      </c>
      <c r="U20" s="261" t="s">
        <v>256</v>
      </c>
      <c r="V20" s="128"/>
      <c r="W20" s="128"/>
      <c r="X20" s="128"/>
    </row>
    <row r="21" spans="1:24" ht="27" customHeight="1" thickBot="1" x14ac:dyDescent="0.35">
      <c r="A21" s="128"/>
      <c r="B21" s="467" t="s">
        <v>48</v>
      </c>
      <c r="C21" s="467"/>
      <c r="D21" s="467"/>
      <c r="E21" s="467"/>
      <c r="F21" s="467"/>
      <c r="G21" s="467"/>
      <c r="H21" s="240">
        <f>IF(SUM(H8:H20)&gt;100%,"supera el 100%",SUM(H8:H20))</f>
        <v>1</v>
      </c>
      <c r="I21" s="241"/>
      <c r="J21" s="241"/>
      <c r="K21" s="242">
        <f>AVERAGE(K8:K20)</f>
        <v>0.33333333333333337</v>
      </c>
      <c r="L21" s="240"/>
      <c r="M21" s="240"/>
      <c r="N21" s="240"/>
      <c r="O21" s="240"/>
      <c r="P21" s="240">
        <f>AVERAGE(P8:P20)</f>
        <v>0.66666666666666663</v>
      </c>
      <c r="Q21" s="240"/>
      <c r="R21" s="231">
        <f>IF(SUM(R8:R20)&gt;100%,"supera el 100%",SUM(R8:R20))</f>
        <v>1</v>
      </c>
      <c r="S21" s="219"/>
      <c r="T21" s="144"/>
      <c r="U21" s="145"/>
      <c r="V21" s="128"/>
      <c r="W21" s="128"/>
      <c r="X21" s="128"/>
    </row>
    <row r="22" spans="1:24" ht="27" customHeight="1" x14ac:dyDescent="0.25">
      <c r="A22" s="128"/>
      <c r="B22" s="503" t="s">
        <v>257</v>
      </c>
      <c r="C22" s="503"/>
      <c r="D22" s="503"/>
      <c r="E22" s="503"/>
      <c r="F22" s="503"/>
      <c r="G22" s="503"/>
      <c r="H22" s="503"/>
      <c r="I22" s="503"/>
      <c r="J22" s="503"/>
      <c r="K22" s="503"/>
      <c r="L22" s="503"/>
      <c r="M22" s="503"/>
      <c r="N22" s="503"/>
      <c r="O22" s="503"/>
      <c r="P22" s="503"/>
      <c r="Q22" s="503"/>
      <c r="R22" s="156"/>
      <c r="S22" s="156"/>
      <c r="T22" s="156"/>
      <c r="U22" s="157"/>
      <c r="V22" s="128"/>
      <c r="W22" s="128"/>
      <c r="X22" s="128"/>
    </row>
    <row r="23" spans="1:24" ht="171" customHeight="1" x14ac:dyDescent="0.25">
      <c r="A23" s="128"/>
      <c r="B23" s="418"/>
      <c r="C23" s="419" t="s">
        <v>258</v>
      </c>
      <c r="D23" s="455" t="s">
        <v>259</v>
      </c>
      <c r="E23" s="420">
        <v>1</v>
      </c>
      <c r="F23" s="419" t="s">
        <v>198</v>
      </c>
      <c r="G23" s="186" t="s">
        <v>260</v>
      </c>
      <c r="H23" s="450">
        <v>0.05</v>
      </c>
      <c r="I23" s="198">
        <v>0.3</v>
      </c>
      <c r="J23" s="420">
        <v>0.3</v>
      </c>
      <c r="K23" s="482">
        <f>(AVERAGE(I23:I26)*H23)</f>
        <v>1.8750000000000003E-2</v>
      </c>
      <c r="L23" s="483" t="s">
        <v>261</v>
      </c>
      <c r="M23" s="206">
        <f t="shared" ref="M23:M25" si="1">IF((I23)&lt;=0%,"0%",SUM(100%-I23))*$M$1</f>
        <v>0.7</v>
      </c>
      <c r="N23" s="450">
        <v>0.7</v>
      </c>
      <c r="O23" s="248">
        <v>0.39</v>
      </c>
      <c r="P23" s="485">
        <f>IFERROR((AVERAGE(M23:M26)*H23),0)</f>
        <v>2.7250000000000003E-2</v>
      </c>
      <c r="Q23" s="486">
        <f>IF(SUM(K23,P23)&gt;100%,"NO PERMITIDO",SUM(K23,P23))</f>
        <v>4.6000000000000006E-2</v>
      </c>
      <c r="R23" s="497">
        <f>K23+P23</f>
        <v>4.6000000000000006E-2</v>
      </c>
      <c r="S23" s="252" t="s">
        <v>262</v>
      </c>
      <c r="T23" s="263" t="s">
        <v>263</v>
      </c>
      <c r="U23" s="468" t="s">
        <v>264</v>
      </c>
      <c r="V23" s="128"/>
      <c r="W23" s="128"/>
      <c r="X23" s="128"/>
    </row>
    <row r="24" spans="1:24" ht="156.75" customHeight="1" x14ac:dyDescent="0.25">
      <c r="A24" s="128"/>
      <c r="B24" s="418"/>
      <c r="C24" s="419"/>
      <c r="D24" s="455"/>
      <c r="E24" s="420"/>
      <c r="F24" s="419"/>
      <c r="G24" s="186" t="s">
        <v>265</v>
      </c>
      <c r="H24" s="450"/>
      <c r="I24" s="198">
        <v>0.5</v>
      </c>
      <c r="J24" s="420"/>
      <c r="K24" s="482"/>
      <c r="L24" s="484"/>
      <c r="M24" s="206">
        <f t="shared" si="1"/>
        <v>0.5</v>
      </c>
      <c r="N24" s="450"/>
      <c r="O24" s="248">
        <v>0.28000000000000003</v>
      </c>
      <c r="P24" s="485"/>
      <c r="Q24" s="486"/>
      <c r="R24" s="497"/>
      <c r="S24" s="262" t="s">
        <v>380</v>
      </c>
      <c r="T24" s="263" t="s">
        <v>266</v>
      </c>
      <c r="U24" s="469"/>
      <c r="V24" s="128"/>
      <c r="W24" s="128"/>
      <c r="X24" s="128"/>
    </row>
    <row r="25" spans="1:24" ht="148.5" customHeight="1" x14ac:dyDescent="0.25">
      <c r="A25" s="128"/>
      <c r="B25" s="418"/>
      <c r="C25" s="419"/>
      <c r="D25" s="455"/>
      <c r="E25" s="419"/>
      <c r="F25" s="419"/>
      <c r="G25" s="186" t="s">
        <v>267</v>
      </c>
      <c r="H25" s="450"/>
      <c r="I25" s="198">
        <v>0.35</v>
      </c>
      <c r="J25" s="419"/>
      <c r="K25" s="482"/>
      <c r="L25" s="484"/>
      <c r="M25" s="206">
        <f t="shared" si="1"/>
        <v>0.65</v>
      </c>
      <c r="N25" s="450"/>
      <c r="O25" s="248">
        <v>0.36</v>
      </c>
      <c r="P25" s="485"/>
      <c r="Q25" s="486"/>
      <c r="R25" s="497"/>
      <c r="S25" s="252" t="s">
        <v>268</v>
      </c>
      <c r="T25" s="264" t="s">
        <v>269</v>
      </c>
      <c r="U25" s="469"/>
      <c r="V25" s="128"/>
      <c r="W25" s="128"/>
      <c r="X25" s="128"/>
    </row>
    <row r="26" spans="1:24" ht="220.5" customHeight="1" x14ac:dyDescent="0.25">
      <c r="A26" s="128"/>
      <c r="B26" s="418"/>
      <c r="C26" s="419"/>
      <c r="D26" s="455"/>
      <c r="E26" s="419"/>
      <c r="F26" s="419"/>
      <c r="G26" s="186" t="s">
        <v>270</v>
      </c>
      <c r="H26" s="450"/>
      <c r="I26" s="198">
        <v>0.35</v>
      </c>
      <c r="J26" s="419"/>
      <c r="K26" s="482"/>
      <c r="L26" s="484"/>
      <c r="M26" s="206">
        <v>0.33</v>
      </c>
      <c r="N26" s="450"/>
      <c r="O26" s="248">
        <v>0.22</v>
      </c>
      <c r="P26" s="485"/>
      <c r="Q26" s="486"/>
      <c r="R26" s="497"/>
      <c r="S26" s="252" t="s">
        <v>271</v>
      </c>
      <c r="T26" s="262" t="s">
        <v>272</v>
      </c>
      <c r="U26" s="470"/>
      <c r="V26" s="128"/>
      <c r="W26" s="128"/>
      <c r="X26" s="128"/>
    </row>
    <row r="27" spans="1:24" ht="27" customHeight="1" thickBot="1" x14ac:dyDescent="0.3">
      <c r="A27" s="128"/>
      <c r="B27" s="471" t="s">
        <v>48</v>
      </c>
      <c r="C27" s="472"/>
      <c r="D27" s="472"/>
      <c r="E27" s="472"/>
      <c r="F27" s="472"/>
      <c r="G27" s="473"/>
      <c r="H27" s="234">
        <f>SUM(H21,H23)</f>
        <v>1.05</v>
      </c>
      <c r="I27" s="235"/>
      <c r="J27" s="235"/>
      <c r="K27" s="236">
        <f>SUM(K21,K23)</f>
        <v>0.35208333333333336</v>
      </c>
      <c r="L27" s="209"/>
      <c r="M27" s="209"/>
      <c r="N27" s="209"/>
      <c r="O27" s="237"/>
      <c r="P27" s="236">
        <f>SUM(P21,P23)</f>
        <v>0.69391666666666663</v>
      </c>
      <c r="Q27" s="209"/>
      <c r="R27" s="220">
        <f>SUM(R21,R23)</f>
        <v>1.046</v>
      </c>
      <c r="S27" s="221"/>
      <c r="T27" s="156"/>
      <c r="U27" s="157"/>
      <c r="V27" s="128"/>
      <c r="W27" s="128"/>
      <c r="X27" s="128"/>
    </row>
    <row r="28" spans="1:24" ht="27" customHeight="1" x14ac:dyDescent="0.25">
      <c r="A28" s="128"/>
      <c r="B28" s="147"/>
      <c r="C28" s="148"/>
      <c r="D28" s="148"/>
      <c r="E28" s="148"/>
      <c r="F28" s="146"/>
      <c r="G28" s="146"/>
      <c r="H28" s="146"/>
      <c r="I28" s="146"/>
      <c r="J28" s="146"/>
      <c r="K28" s="146"/>
      <c r="L28" s="146"/>
      <c r="M28" s="148"/>
      <c r="N28" s="146"/>
      <c r="O28" s="146"/>
      <c r="P28" s="146"/>
      <c r="Q28" s="146"/>
      <c r="R28" s="146"/>
      <c r="S28" s="146"/>
      <c r="T28" s="156"/>
      <c r="U28" s="157"/>
      <c r="V28" s="128"/>
      <c r="W28" s="128"/>
      <c r="X28" s="128"/>
    </row>
    <row r="29" spans="1:24" ht="29.25" customHeight="1" x14ac:dyDescent="0.25">
      <c r="A29" s="128"/>
      <c r="B29" s="149"/>
      <c r="C29" s="150"/>
      <c r="D29" s="151"/>
      <c r="E29" s="151"/>
      <c r="F29" s="150"/>
      <c r="G29" s="150"/>
      <c r="H29" s="151"/>
      <c r="I29" s="151"/>
      <c r="J29" s="151"/>
      <c r="K29" s="151"/>
      <c r="L29" s="151"/>
      <c r="M29" s="156"/>
      <c r="N29" s="151"/>
      <c r="O29" s="151"/>
      <c r="P29" s="151"/>
      <c r="Q29" s="151"/>
      <c r="R29" s="152"/>
      <c r="S29" s="152"/>
      <c r="T29" s="156"/>
      <c r="U29" s="157"/>
      <c r="V29" s="128"/>
      <c r="W29" s="128"/>
      <c r="X29" s="128"/>
    </row>
    <row r="30" spans="1:24" ht="48.75" customHeight="1" x14ac:dyDescent="0.35">
      <c r="A30" s="128"/>
      <c r="B30" s="149"/>
      <c r="C30" s="153" t="s">
        <v>273</v>
      </c>
      <c r="D30" s="474">
        <v>44956</v>
      </c>
      <c r="E30" s="475"/>
      <c r="F30" s="151"/>
      <c r="G30" s="476" t="s">
        <v>381</v>
      </c>
      <c r="H30" s="477"/>
      <c r="I30" s="477"/>
      <c r="J30" s="478"/>
      <c r="K30" s="130"/>
      <c r="L30" s="479" t="s">
        <v>274</v>
      </c>
      <c r="M30" s="480"/>
      <c r="N30" s="480"/>
      <c r="O30" s="480"/>
      <c r="P30" s="480"/>
      <c r="Q30" s="481"/>
      <c r="R30" s="155"/>
      <c r="S30" s="155"/>
      <c r="T30" s="156"/>
      <c r="U30" s="157"/>
      <c r="V30" s="128"/>
      <c r="W30" s="128"/>
      <c r="X30" s="128"/>
    </row>
    <row r="31" spans="1:24" ht="48" customHeight="1" x14ac:dyDescent="0.25">
      <c r="A31" s="128"/>
      <c r="B31" s="149"/>
      <c r="C31" s="153" t="s">
        <v>275</v>
      </c>
      <c r="D31" s="487" t="s">
        <v>276</v>
      </c>
      <c r="E31" s="488"/>
      <c r="F31" s="151"/>
      <c r="G31" s="489" t="s">
        <v>277</v>
      </c>
      <c r="H31" s="490"/>
      <c r="I31" s="490"/>
      <c r="J31" s="491"/>
      <c r="K31" s="130"/>
      <c r="L31" s="492" t="s">
        <v>278</v>
      </c>
      <c r="M31" s="493"/>
      <c r="N31" s="493"/>
      <c r="O31" s="493"/>
      <c r="P31" s="493"/>
      <c r="Q31" s="494"/>
      <c r="R31" s="158"/>
      <c r="S31" s="158"/>
      <c r="T31" s="159"/>
      <c r="U31" s="160"/>
      <c r="V31" s="128"/>
      <c r="W31" s="128"/>
      <c r="X31" s="128"/>
    </row>
    <row r="32" spans="1:24" ht="26.25" x14ac:dyDescent="0.25">
      <c r="A32" s="128"/>
      <c r="B32" s="161"/>
      <c r="C32" s="162"/>
      <c r="D32" s="163"/>
      <c r="E32" s="163"/>
      <c r="F32" s="163"/>
      <c r="G32" s="163"/>
      <c r="H32" s="163"/>
      <c r="I32" s="163"/>
      <c r="J32" s="163"/>
      <c r="K32" s="163"/>
      <c r="L32" s="163"/>
      <c r="M32" s="222"/>
      <c r="N32" s="163"/>
      <c r="O32" s="163"/>
      <c r="P32" s="163"/>
      <c r="Q32" s="163"/>
      <c r="R32" s="164"/>
      <c r="S32" s="164"/>
      <c r="T32" s="163"/>
      <c r="U32" s="165"/>
      <c r="V32" s="128"/>
      <c r="W32" s="128"/>
      <c r="X32" s="128"/>
    </row>
    <row r="33" spans="1:24" ht="26.25" x14ac:dyDescent="0.25">
      <c r="A33" s="128"/>
      <c r="B33" s="128"/>
      <c r="C33" s="128"/>
      <c r="D33" s="128"/>
      <c r="E33" s="128"/>
      <c r="F33" s="128"/>
      <c r="G33" s="128"/>
      <c r="H33" s="128"/>
      <c r="I33" s="128"/>
      <c r="J33" s="128"/>
      <c r="K33" s="128"/>
      <c r="L33" s="128"/>
      <c r="M33" s="223"/>
      <c r="N33" s="128"/>
      <c r="O33" s="128"/>
      <c r="P33" s="128"/>
      <c r="Q33" s="128"/>
      <c r="R33" s="128"/>
      <c r="S33" s="128"/>
      <c r="T33" s="128"/>
      <c r="U33" s="128"/>
      <c r="V33" s="128"/>
      <c r="W33" s="128"/>
      <c r="X33" s="128"/>
    </row>
    <row r="34" spans="1:24" ht="26.25" x14ac:dyDescent="0.25">
      <c r="A34" s="128"/>
      <c r="B34" s="128"/>
      <c r="C34" s="128"/>
      <c r="D34" s="128"/>
      <c r="E34" s="128"/>
      <c r="F34" s="128"/>
      <c r="G34" s="128"/>
      <c r="H34" s="128"/>
      <c r="I34" s="128"/>
      <c r="J34" s="128"/>
      <c r="K34" s="128"/>
      <c r="L34" s="128"/>
      <c r="M34" s="223"/>
      <c r="N34" s="128"/>
      <c r="O34" s="128"/>
      <c r="P34" s="128"/>
      <c r="Q34" s="128"/>
      <c r="R34" s="128"/>
      <c r="S34" s="128"/>
      <c r="T34" s="128"/>
      <c r="U34" s="128"/>
      <c r="V34" s="128"/>
      <c r="W34" s="128"/>
      <c r="X34" s="128"/>
    </row>
    <row r="38" spans="1:24" ht="20.25" x14ac:dyDescent="0.3">
      <c r="K38" s="208"/>
    </row>
    <row r="52" spans="7:7" x14ac:dyDescent="0.3">
      <c r="G52" s="133" t="s">
        <v>279</v>
      </c>
    </row>
  </sheetData>
  <mergeCells count="92">
    <mergeCell ref="D31:E31"/>
    <mergeCell ref="G31:J31"/>
    <mergeCell ref="L31:Q31"/>
    <mergeCell ref="H6:I6"/>
    <mergeCell ref="R23:R26"/>
    <mergeCell ref="R14:R17"/>
    <mergeCell ref="D14:D17"/>
    <mergeCell ref="E14:E17"/>
    <mergeCell ref="F14:F17"/>
    <mergeCell ref="H14:H17"/>
    <mergeCell ref="Q11:Q13"/>
    <mergeCell ref="R11:R13"/>
    <mergeCell ref="J6:P6"/>
    <mergeCell ref="Q6:Q7"/>
    <mergeCell ref="R6:R7"/>
    <mergeCell ref="B22:Q22"/>
    <mergeCell ref="U23:U26"/>
    <mergeCell ref="B27:G27"/>
    <mergeCell ref="D30:E30"/>
    <mergeCell ref="G30:J30"/>
    <mergeCell ref="L30:Q30"/>
    <mergeCell ref="J23:J26"/>
    <mergeCell ref="K23:K26"/>
    <mergeCell ref="L23:L26"/>
    <mergeCell ref="N23:N26"/>
    <mergeCell ref="P23:P26"/>
    <mergeCell ref="Q23:Q26"/>
    <mergeCell ref="B23:B26"/>
    <mergeCell ref="C23:C26"/>
    <mergeCell ref="D23:D26"/>
    <mergeCell ref="E23:E26"/>
    <mergeCell ref="F23:F26"/>
    <mergeCell ref="H23:H26"/>
    <mergeCell ref="B14:B17"/>
    <mergeCell ref="C14:C17"/>
    <mergeCell ref="J14:J17"/>
    <mergeCell ref="K14:K17"/>
    <mergeCell ref="B21:G21"/>
    <mergeCell ref="Q18:Q20"/>
    <mergeCell ref="R18:R20"/>
    <mergeCell ref="H18:H20"/>
    <mergeCell ref="J18:J20"/>
    <mergeCell ref="B18:B20"/>
    <mergeCell ref="C18:C20"/>
    <mergeCell ref="D18:D20"/>
    <mergeCell ref="E18:E20"/>
    <mergeCell ref="F18:F20"/>
    <mergeCell ref="K18:K20"/>
    <mergeCell ref="L18:L20"/>
    <mergeCell ref="N18:N20"/>
    <mergeCell ref="P18:P20"/>
    <mergeCell ref="U14:U17"/>
    <mergeCell ref="N14:N17"/>
    <mergeCell ref="P14:P17"/>
    <mergeCell ref="Q14:Q17"/>
    <mergeCell ref="C8:C10"/>
    <mergeCell ref="D8:D10"/>
    <mergeCell ref="K11:K13"/>
    <mergeCell ref="P8:P10"/>
    <mergeCell ref="H11:H13"/>
    <mergeCell ref="J11:J13"/>
    <mergeCell ref="F8:F10"/>
    <mergeCell ref="N8:N10"/>
    <mergeCell ref="N11:N13"/>
    <mergeCell ref="P11:P13"/>
    <mergeCell ref="L14:L17"/>
    <mergeCell ref="U8:U10"/>
    <mergeCell ref="B6:B7"/>
    <mergeCell ref="F1:F2"/>
    <mergeCell ref="H1:H2"/>
    <mergeCell ref="B4:U4"/>
    <mergeCell ref="B5:H5"/>
    <mergeCell ref="K5:P5"/>
    <mergeCell ref="Q5:U5"/>
    <mergeCell ref="C6:C7"/>
    <mergeCell ref="D6:D7"/>
    <mergeCell ref="E6:E7"/>
    <mergeCell ref="F6:F7"/>
    <mergeCell ref="T6:U6"/>
    <mergeCell ref="G6:G7"/>
    <mergeCell ref="Q8:Q10"/>
    <mergeCell ref="R8:R10"/>
    <mergeCell ref="B11:B12"/>
    <mergeCell ref="C11:C13"/>
    <mergeCell ref="D11:D13"/>
    <mergeCell ref="E11:E13"/>
    <mergeCell ref="F11:F13"/>
    <mergeCell ref="E8:E10"/>
    <mergeCell ref="B8:B10"/>
    <mergeCell ref="H8:H10"/>
    <mergeCell ref="J8:J10"/>
    <mergeCell ref="K8:K10"/>
  </mergeCells>
  <conditionalFormatting sqref="Q8 Q11 Q14 Q18">
    <cfRule type="cellIs" dxfId="1" priority="3" operator="greaterThan">
      <formula>100</formula>
    </cfRule>
  </conditionalFormatting>
  <conditionalFormatting sqref="Q23:Q24">
    <cfRule type="cellIs" dxfId="0" priority="2" operator="greaterThan">
      <formula>100</formula>
    </cfRule>
  </conditionalFormatting>
  <dataValidations count="1">
    <dataValidation allowBlank="1" showInputMessage="1" showErrorMessage="1" errorTitle="error" error="solo datos númericos" sqref="H8:H11 H14:H20 H23:H26" xr:uid="{00000000-0002-0000-0900-000000000000}"/>
  </dataValidations>
  <hyperlinks>
    <hyperlink ref="U23:U26" r:id="rId1" display="https://invimagovco.sharepoint.com/:f:/r/sites/o365_CC_DDM/CC_DDM_D/ACUERDOS%20DE%20GESTION/2022/EVIDENCIAS%20II%20SEMESTRE%20-%202109%20A%203112/ADICIONAL%20GICASE?csf=1&amp;web=1&amp;e=avM0Fj" xr:uid="{EEDB69A9-15B1-48B7-816D-8AE18EE4C29D}"/>
    <hyperlink ref="U14:U17" r:id="rId2" display="https://invimagovco.sharepoint.com/sites/o365_CC_DDM/CC_DDM_D/Forms/AllItems.aspx?id=%2Fsites%2Fo365%5FCC%5FDDM%2FCC%5FDDM%5FD%2FACUERDOS%20DE%20GESTION%2F2022%2FEVIDENCIAS%20II%20SEMESTRE%20%2D%202109%20A%203112%2F3%2E%20REGISTROS%20SANITARIOS&amp;viewid=e8a78d4d%2D2054%2D4344%2D8647%2D176dec0d318a" xr:uid="{2175D912-A1E8-46B7-949E-180D14EECA93}"/>
    <hyperlink ref="U11" r:id="rId3" display="https://invimagovco.sharepoint.com/sites/o365_CC_DDM/CC_DDM_D/Forms/AllItems.aspx?newTargetListUrl=%2Fsites%2Fo365%5FCC%5FDDM%2FCC%5FDDM%5FD&amp;viewpath=%2Fsites%2Fo365%5FCC%5FDDM%2FCC%5FDDM%5FD%2FForms%2FAllItems%2Easpx&amp;id=%2Fsites%2Fo365%5FCC%5FDDM%2FCC%5FDDM%5FD%2FACUERDOS%20DE%20GESTION%2F2022%2FEVIDENCIAS%20II%20SEMESTRE%20%2D%202109%20A%203112%2F2%2E%20MECANISMOS%20COMUNICACION%2F2%2E1&amp;viewid=e8a78d4d%2D2054%2D4344%2D8647%2D176dec0d318a" xr:uid="{6E30BC93-EAC7-43EB-BF82-807A665318EB}"/>
    <hyperlink ref="U8:U10" r:id="rId4" display="https://invimagovco.sharepoint.com/sites/o365_CC_DDM/CC_DDM_D/Forms/AllItems.aspx?id=%2Fsites%2Fo365%5FCC%5FDDM%2FCC%5FDDM%5FD%2FACUERDOS%20DE%20GESTION%2F2022%2FEVIDENCIAS%20II%20SEMESTRE%20%2D%202109%20A%203112%2F1%2E%20RECONOCIMIENTO%20INTERNACIONAL%2F1%2E1&amp;viewid=e8a78d4d%2D2054%2D4344%2D8647%2D176dec0d318a" xr:uid="{8D750927-66E2-46D7-A346-4A4FDA4D6820}"/>
    <hyperlink ref="U12" r:id="rId5" display="https://invimagovco.sharepoint.com/sites/o365_CC_DDM/CC_DDM_D/Forms/AllItems.aspx?id=%2Fsites%2Fo365%5FCC%5FDDM%2FCC%5FDDM%5FD%2FACUERDOS%20DE%20GESTION%2F2022%2FEVIDENCIAS%20II%20SEMESTRE%20%2D%202109%20A%203112%2F2%2E%20MECANISMOS%20COMUNICACION%2F2%2E2%2Fvig%20post&amp;viewid=e8a78d4d%2D2054%2D4344%2D8647%2D176dec0d318a" xr:uid="{A67D28CE-E2F4-44D0-90BB-00E6CF783ACF}"/>
  </hyperlinks>
  <printOptions horizontalCentered="1" verticalCentered="1"/>
  <pageMargins left="0.23622047244094491" right="0.23622047244094491" top="0.74803149606299213" bottom="0.74803149606299213" header="0.31496062992125984" footer="0.31496062992125984"/>
  <pageSetup paperSize="167" scale="14" fitToHeight="0" orientation="landscape" r:id="rId6"/>
  <rowBreaks count="2" manualBreakCount="2">
    <brk id="10" max="18" man="1"/>
    <brk id="32" max="17" man="1"/>
  </rowBreaks>
  <colBreaks count="2" manualBreakCount="2">
    <brk id="11" max="31" man="1"/>
    <brk id="21" max="40" man="1"/>
  </colBreaks>
  <drawing r:id="rId7"/>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6"/>
  <sheetViews>
    <sheetView topLeftCell="A6" workbookViewId="0">
      <selection activeCell="H6" sqref="H6"/>
    </sheetView>
  </sheetViews>
  <sheetFormatPr baseColWidth="10" defaultColWidth="9.140625" defaultRowHeight="15" x14ac:dyDescent="0.25"/>
  <cols>
    <col min="8" max="8" width="74" customWidth="1"/>
  </cols>
  <sheetData>
    <row r="6" spans="8:8" x14ac:dyDescent="0.25">
      <c r="H6" s="19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4"/>
  <sheetViews>
    <sheetView view="pageBreakPreview" topLeftCell="D19" zoomScale="40" zoomScaleNormal="40" zoomScaleSheetLayoutView="40" zoomScalePageLayoutView="50" workbookViewId="0">
      <selection activeCell="B6" sqref="B6:B7"/>
    </sheetView>
  </sheetViews>
  <sheetFormatPr baseColWidth="10" defaultColWidth="10.85546875" defaultRowHeight="18.75" x14ac:dyDescent="0.3"/>
  <cols>
    <col min="1" max="1" width="4.28515625" style="133" customWidth="1"/>
    <col min="2" max="2" width="13" style="166" bestFit="1" customWidth="1"/>
    <col min="3" max="3" width="41.42578125" style="133" customWidth="1"/>
    <col min="4" max="4" width="41.7109375" style="133" customWidth="1"/>
    <col min="5" max="5" width="28.85546875" style="133" customWidth="1"/>
    <col min="6" max="6" width="29.7109375" style="133" customWidth="1"/>
    <col min="7" max="7" width="81" style="133" customWidth="1"/>
    <col min="8" max="8" width="32" style="133" customWidth="1"/>
    <col min="9" max="9" width="31.140625" style="133" hidden="1" customWidth="1"/>
    <col min="10" max="11" width="41.140625" style="133" customWidth="1"/>
    <col min="12" max="12" width="58" style="133" hidden="1" customWidth="1"/>
    <col min="13" max="14" width="41.140625" style="133" customWidth="1"/>
    <col min="15" max="15" width="38.85546875" style="133" customWidth="1"/>
    <col min="16" max="16" width="33.140625" style="167" customWidth="1"/>
    <col min="17" max="17" width="73.7109375" style="133" customWidth="1"/>
    <col min="18" max="18" width="36.42578125" style="133" customWidth="1"/>
    <col min="19" max="19" width="3.7109375" style="133" customWidth="1"/>
    <col min="20" max="16384" width="10.85546875" style="133"/>
  </cols>
  <sheetData>
    <row r="1" spans="1:21" ht="132" customHeight="1" thickBot="1" x14ac:dyDescent="0.5">
      <c r="A1" s="128"/>
      <c r="B1" s="129"/>
      <c r="C1" s="130"/>
      <c r="D1" s="130"/>
      <c r="E1" s="130"/>
      <c r="F1" s="432"/>
      <c r="G1" s="131"/>
      <c r="H1" s="434"/>
      <c r="I1" s="130"/>
      <c r="J1" s="130"/>
      <c r="K1" s="130"/>
      <c r="L1" s="130"/>
      <c r="M1" s="130"/>
      <c r="N1" s="130"/>
      <c r="O1" s="130"/>
      <c r="P1" s="132"/>
      <c r="Q1" s="130"/>
      <c r="R1" s="130"/>
      <c r="S1" s="128"/>
      <c r="T1" s="128"/>
      <c r="U1" s="128"/>
    </row>
    <row r="2" spans="1:21" ht="7.5" hidden="1" customHeight="1" x14ac:dyDescent="0.25">
      <c r="A2" s="128"/>
      <c r="B2" s="129"/>
      <c r="C2" s="130"/>
      <c r="D2" s="130"/>
      <c r="E2" s="130"/>
      <c r="F2" s="433"/>
      <c r="G2" s="134"/>
      <c r="H2" s="434"/>
      <c r="I2" s="130"/>
      <c r="J2" s="130"/>
      <c r="K2" s="130"/>
      <c r="L2" s="130"/>
      <c r="M2" s="130"/>
      <c r="N2" s="130"/>
      <c r="O2" s="130"/>
      <c r="P2" s="132"/>
      <c r="Q2" s="130"/>
      <c r="R2" s="130"/>
      <c r="S2" s="128"/>
      <c r="T2" s="128"/>
      <c r="U2" s="128"/>
    </row>
    <row r="3" spans="1:21" ht="27" hidden="1" thickBot="1" x14ac:dyDescent="0.3">
      <c r="A3" s="128"/>
      <c r="B3" s="129"/>
      <c r="C3" s="130"/>
      <c r="D3" s="130"/>
      <c r="E3" s="130"/>
      <c r="F3" s="130"/>
      <c r="G3" s="130"/>
      <c r="H3" s="130"/>
      <c r="I3" s="130"/>
      <c r="J3" s="130"/>
      <c r="K3" s="130"/>
      <c r="L3" s="130"/>
      <c r="M3" s="130"/>
      <c r="N3" s="130"/>
      <c r="O3" s="130"/>
      <c r="P3" s="132"/>
      <c r="Q3" s="130"/>
      <c r="R3" s="130"/>
      <c r="S3" s="128"/>
      <c r="T3" s="128"/>
      <c r="U3" s="128"/>
    </row>
    <row r="4" spans="1:21" ht="64.5" customHeight="1" thickBot="1" x14ac:dyDescent="0.3">
      <c r="A4" s="128"/>
      <c r="B4" s="435" t="s">
        <v>176</v>
      </c>
      <c r="C4" s="436"/>
      <c r="D4" s="436"/>
      <c r="E4" s="436"/>
      <c r="F4" s="436"/>
      <c r="G4" s="436"/>
      <c r="H4" s="436"/>
      <c r="I4" s="436"/>
      <c r="J4" s="436"/>
      <c r="K4" s="436"/>
      <c r="L4" s="436"/>
      <c r="M4" s="436"/>
      <c r="N4" s="436"/>
      <c r="O4" s="436"/>
      <c r="P4" s="436"/>
      <c r="Q4" s="436"/>
      <c r="R4" s="437"/>
      <c r="S4" s="128"/>
      <c r="T4" s="128"/>
      <c r="U4" s="128"/>
    </row>
    <row r="5" spans="1:21" ht="35.25" customHeight="1" thickBot="1" x14ac:dyDescent="0.3">
      <c r="A5" s="128"/>
      <c r="B5" s="548" t="s">
        <v>177</v>
      </c>
      <c r="C5" s="549"/>
      <c r="D5" s="549"/>
      <c r="E5" s="549"/>
      <c r="F5" s="549"/>
      <c r="G5" s="549"/>
      <c r="H5" s="550"/>
      <c r="I5" s="135"/>
      <c r="J5" s="135"/>
      <c r="K5" s="549"/>
      <c r="L5" s="549"/>
      <c r="M5" s="549"/>
      <c r="N5" s="550"/>
      <c r="O5" s="548" t="s">
        <v>178</v>
      </c>
      <c r="P5" s="551"/>
      <c r="Q5" s="551"/>
      <c r="R5" s="552"/>
      <c r="S5" s="128"/>
      <c r="T5" s="128"/>
      <c r="U5" s="128"/>
    </row>
    <row r="6" spans="1:21" s="136" customFormat="1" ht="56.25" customHeight="1" thickBot="1" x14ac:dyDescent="0.5">
      <c r="A6" s="128"/>
      <c r="B6" s="431" t="s">
        <v>17</v>
      </c>
      <c r="C6" s="443" t="s">
        <v>179</v>
      </c>
      <c r="D6" s="445" t="s">
        <v>180</v>
      </c>
      <c r="E6" s="445" t="s">
        <v>181</v>
      </c>
      <c r="F6" s="445" t="s">
        <v>182</v>
      </c>
      <c r="G6" s="445" t="s">
        <v>61</v>
      </c>
      <c r="H6" s="537" t="s">
        <v>183</v>
      </c>
      <c r="I6" s="538"/>
      <c r="J6" s="446" t="s">
        <v>184</v>
      </c>
      <c r="K6" s="500"/>
      <c r="L6" s="500"/>
      <c r="M6" s="500"/>
      <c r="N6" s="501"/>
      <c r="O6" s="445" t="s">
        <v>185</v>
      </c>
      <c r="P6" s="502" t="s">
        <v>186</v>
      </c>
      <c r="Q6" s="445" t="s">
        <v>79</v>
      </c>
      <c r="R6" s="445"/>
      <c r="S6" s="128"/>
      <c r="T6" s="128"/>
      <c r="U6" s="128"/>
    </row>
    <row r="7" spans="1:21" s="139" customFormat="1" ht="129" customHeight="1" thickBot="1" x14ac:dyDescent="0.5">
      <c r="A7" s="128"/>
      <c r="B7" s="431"/>
      <c r="C7" s="444"/>
      <c r="D7" s="445"/>
      <c r="E7" s="445"/>
      <c r="F7" s="445"/>
      <c r="G7" s="443"/>
      <c r="H7" s="539"/>
      <c r="I7" s="540"/>
      <c r="J7" s="137" t="s">
        <v>189</v>
      </c>
      <c r="K7" s="137" t="s">
        <v>190</v>
      </c>
      <c r="L7" s="201" t="s">
        <v>191</v>
      </c>
      <c r="M7" s="137" t="s">
        <v>193</v>
      </c>
      <c r="N7" s="137" t="s">
        <v>194</v>
      </c>
      <c r="O7" s="445"/>
      <c r="P7" s="502"/>
      <c r="Q7" s="138" t="s">
        <v>195</v>
      </c>
      <c r="R7" s="138" t="s">
        <v>120</v>
      </c>
      <c r="S7" s="128"/>
      <c r="T7" s="128"/>
      <c r="U7" s="128"/>
    </row>
    <row r="8" spans="1:21" ht="61.5" customHeight="1" x14ac:dyDescent="0.25">
      <c r="A8" s="128"/>
      <c r="B8" s="511">
        <v>1</v>
      </c>
      <c r="C8" s="508" t="s">
        <v>196</v>
      </c>
      <c r="D8" s="512" t="s">
        <v>197</v>
      </c>
      <c r="E8" s="514">
        <v>1</v>
      </c>
      <c r="F8" s="515" t="s">
        <v>198</v>
      </c>
      <c r="G8" s="177" t="s">
        <v>280</v>
      </c>
      <c r="H8" s="543">
        <v>0.15</v>
      </c>
      <c r="I8" s="191">
        <f>'OAP-DMOT'!I8</f>
        <v>0.35</v>
      </c>
      <c r="J8" s="545">
        <v>0.3</v>
      </c>
      <c r="K8" s="514">
        <f>'OAP-DMOT'!K8</f>
        <v>0.33333333333333331</v>
      </c>
      <c r="L8" s="210"/>
      <c r="M8" s="541">
        <v>0.7</v>
      </c>
      <c r="N8" s="528">
        <f>'OAP-DMOT'!P8</f>
        <v>0.66666666666666663</v>
      </c>
      <c r="O8" s="528">
        <f>'OAP-DMOT'!Q8</f>
        <v>1</v>
      </c>
      <c r="P8" s="528">
        <f>'OAP-DMOT'!R8</f>
        <v>0.15</v>
      </c>
      <c r="Q8" s="534" t="str">
        <f>+'OAP-DMOT'!T8</f>
        <v>Se relacionan los correos de envio del correo  INVITACIÓN A OPS _ CURSO TECNOVIGILANCIA EN COLOMBIA - para el inicio del curso de tecnovigilancia el 29/10/2022, asi como el correo que la OPS envío a la red.
Se relaciona correo de reprogramación del curso hasta tanto se restablezcan los servidores del Aula virtual
Se relaciono correo con nueva propuesta para webinar y dar continuidad a los cursos</v>
      </c>
      <c r="R8" s="508" t="str">
        <f>+'OAP-DMOT'!U8</f>
        <v>https://invimagovco.sharepoint.com/sites/o365_CC_DDM/CC_DDM_D/Forms/AllItems.aspx?id=%2Fsites%2Fo365%5FCC%5FDDM%2FCC%5FDDM%5FD%2FACUERDOS%20DE%20GESTION%2F2022%2FEVIDENCIAS%20II%20SEMESTRE%20%2D%202109%20A%203112%2F1%2E%20RECONOCIMIENTO%20INTERNACIONAL%2F1%2E1&amp;viewid=e8a78d4d%2D2054%2D4344%2D8647%2D176dec0d318a
https://invimagovco.sharepoint.com/sites/o365_TECNOVIGILANCIA2/Shared%20Documents/Forms/AllItems.aspx?id=%2Fsites%2Fo365%5FTECNOVIGILANCIA2%2FShared%20Documents%2FDATOS%20POA%202022%2FSEPTIEMBRE%2FEDUCACION%20SANITARIA%2FCAPACITACI%C3%93N%2FCAPACITACI%C3%93N%20DIGEMID&amp;viewid=f198a781%2D8767%2D4db7%2D8119%2Da37df3729394</v>
      </c>
      <c r="S8" s="128"/>
      <c r="T8" s="128"/>
      <c r="U8" s="128"/>
    </row>
    <row r="9" spans="1:21" ht="76.5" customHeight="1" x14ac:dyDescent="0.25">
      <c r="A9" s="128"/>
      <c r="B9" s="506"/>
      <c r="C9" s="504"/>
      <c r="D9" s="513"/>
      <c r="E9" s="504"/>
      <c r="F9" s="516"/>
      <c r="G9" s="178" t="s">
        <v>281</v>
      </c>
      <c r="H9" s="544"/>
      <c r="I9" s="140">
        <f>'OAP-DMOT'!I9</f>
        <v>0.35</v>
      </c>
      <c r="J9" s="546"/>
      <c r="K9" s="504"/>
      <c r="L9" s="210"/>
      <c r="M9" s="542"/>
      <c r="N9" s="529"/>
      <c r="O9" s="529"/>
      <c r="P9" s="529"/>
      <c r="Q9" s="535"/>
      <c r="R9" s="504"/>
      <c r="S9" s="128"/>
      <c r="T9" s="128"/>
      <c r="U9" s="128"/>
    </row>
    <row r="10" spans="1:21" ht="115.5" customHeight="1" thickBot="1" x14ac:dyDescent="0.3">
      <c r="A10" s="128"/>
      <c r="B10" s="506"/>
      <c r="C10" s="504"/>
      <c r="D10" s="513"/>
      <c r="E10" s="504"/>
      <c r="F10" s="516"/>
      <c r="G10" s="178" t="s">
        <v>282</v>
      </c>
      <c r="H10" s="544"/>
      <c r="I10" s="140">
        <f>'OAP-DMOT'!I10</f>
        <v>0.3</v>
      </c>
      <c r="J10" s="547"/>
      <c r="K10" s="504"/>
      <c r="L10" s="210"/>
      <c r="M10" s="542"/>
      <c r="N10" s="529"/>
      <c r="O10" s="529"/>
      <c r="P10" s="529"/>
      <c r="Q10" s="536"/>
      <c r="R10" s="505"/>
      <c r="S10" s="128"/>
      <c r="T10" s="128"/>
      <c r="U10" s="128"/>
    </row>
    <row r="11" spans="1:21" ht="139.5" customHeight="1" x14ac:dyDescent="0.25">
      <c r="A11" s="128"/>
      <c r="B11" s="426">
        <v>2</v>
      </c>
      <c r="C11" s="423" t="s">
        <v>196</v>
      </c>
      <c r="D11" s="423" t="s">
        <v>211</v>
      </c>
      <c r="E11" s="507">
        <v>1</v>
      </c>
      <c r="F11" s="554" t="s">
        <v>198</v>
      </c>
      <c r="G11" s="177" t="s">
        <v>283</v>
      </c>
      <c r="H11" s="524">
        <v>0.35</v>
      </c>
      <c r="I11" s="140">
        <f>'OAP-DMOT'!I11</f>
        <v>0.4</v>
      </c>
      <c r="J11" s="507">
        <v>0.4</v>
      </c>
      <c r="K11" s="519">
        <f>'OAP-DMOT'!K11</f>
        <v>0.40000000000000008</v>
      </c>
      <c r="L11" s="210"/>
      <c r="M11" s="519">
        <v>0.6</v>
      </c>
      <c r="N11" s="528">
        <f>'OAP-DMOT'!P11</f>
        <v>0.6</v>
      </c>
      <c r="O11" s="528">
        <f>'OAP-DMOT'!Q11</f>
        <v>1</v>
      </c>
      <c r="P11" s="528">
        <f>'OAP-DMOT'!R11</f>
        <v>0.35</v>
      </c>
      <c r="Q11" s="530" t="str">
        <f>+'OAP-DMOT'!T11</f>
        <v xml:space="preserve">*Listado de asistencia de los participantes y grabación de la Reunión el día 14/12/2022 con ACOTECOP (Asociación Colombiana de Protesistas y Ortesistas)
* Listado de asistencia de los participantes y grabación de la Reunión con las asociaciones de laboratorios de salud bucal, el día 14/12/2022.
-Listado de asistencia de los participantes sobre  la socialización de la cartilla digital, el dia 1 de septiembre de 2022 con una asistencia de 106 personas.
-Correo  de fecha 30 de agosto de 2022  solicitando la publicacion de la circular  5000-0001-22 en la pagina www. invima.gov.co/Normatividad interna/ Circulares/ Externas ( Se observa que la página aun se encuentra en reconstrucción debido al ciberataque del pasado 3 de cotubre de 2022 del cual el invima fue victima y no se encuentra disponible la publicación, sin embargo se encuentra la evidencia del documento en pdf.   </v>
      </c>
      <c r="R11" s="423" t="str">
        <f>+'OAP-DMOT'!U11</f>
        <v>Grupo Técnico:
https://invimagovco.sharepoint.com/:f:/r/sites/o365_CC_DDM/CC_DDM_D/ACUERDOS%20DE%20GESTION/2022/EVIDENCIAS%20II%20SEMESTRE%20-%202109%20A%203112/2.%20MECANISMOS%20COMUNICACION/2.1/GT?csf=1&amp;web=1&amp;e=SeiTQC
https://invimagovco.sharepoint.com/sites/o365_CC_DDM/CC_DDM_D/Forms/AllItems.aspx?newTargetListUrl=%2Fsites%2Fo365%5FCC%5FDDM%2FCC%5FDDM%5FD&amp;viewpath=%2Fsites%2Fo365%5FCC%5FDDM%2FCC%5FDDM%5FD%2FForms%2FAllItems%2Easpx&amp;id=%2Fsites%2Fo365%5FCC%5FDDM%2FCC%5FDDM%5FD%2FACUERDOS%20DE%20GESTION%2F2022%2FEVIDENCIAS%20II%20SEMESTRE%20%2D%202109%20A%203112%2F2%2E%20MECANISMOS%20COMUNICACION%2F2%2E1&amp;viewid=e8a78d4d%2D2054%2D4344%2D8647%2D176dec0d318a
https://invimagovco.sharepoint.com/sites/o365_CC_DDM/CC_DDM_D/Forms/AllItems.aspx?id=%2Fsites%2Fo365%5FCC%5FDDM%2FCC%5FDDM%5FD%2FACUERDOS%20DE%20GESTION%2F2022%2FEVIDENCIAS%20II%20SEMESTRE%20%2D%202109%20A%203112%2F2%2E%20MECANISMOS%20COMUNICACION%2F2%2E1%2FGRS&amp;viewid=e8a78d4d%2D2054%2D4344%2D8647%2D176dec0d318a</v>
      </c>
      <c r="S11" s="128"/>
      <c r="T11" s="128"/>
      <c r="U11" s="128"/>
    </row>
    <row r="12" spans="1:21" ht="77.25" customHeight="1" x14ac:dyDescent="0.25">
      <c r="A12" s="128"/>
      <c r="B12" s="506"/>
      <c r="C12" s="504"/>
      <c r="D12" s="504"/>
      <c r="E12" s="509"/>
      <c r="F12" s="555"/>
      <c r="G12" s="178" t="s">
        <v>284</v>
      </c>
      <c r="H12" s="525"/>
      <c r="I12" s="140">
        <f>'OAP-DMOT'!I12</f>
        <v>0.4</v>
      </c>
      <c r="J12" s="509"/>
      <c r="K12" s="430"/>
      <c r="L12" s="210"/>
      <c r="M12" s="430"/>
      <c r="N12" s="529"/>
      <c r="O12" s="529"/>
      <c r="P12" s="529"/>
      <c r="Q12" s="531"/>
      <c r="R12" s="504"/>
      <c r="S12" s="128"/>
      <c r="T12" s="128"/>
      <c r="U12" s="128"/>
    </row>
    <row r="13" spans="1:21" ht="94.5" customHeight="1" thickBot="1" x14ac:dyDescent="0.3">
      <c r="A13" s="128"/>
      <c r="B13" s="176"/>
      <c r="C13" s="505"/>
      <c r="D13" s="505"/>
      <c r="E13" s="510"/>
      <c r="F13" s="556"/>
      <c r="G13" s="187" t="s">
        <v>285</v>
      </c>
      <c r="H13" s="526"/>
      <c r="I13" s="140">
        <f>'OAP-DMOT'!I13</f>
        <v>0.4</v>
      </c>
      <c r="J13" s="510"/>
      <c r="K13" s="527"/>
      <c r="L13" s="210"/>
      <c r="M13" s="527"/>
      <c r="N13" s="529"/>
      <c r="O13" s="529"/>
      <c r="P13" s="529"/>
      <c r="Q13" s="532"/>
      <c r="R13" s="505"/>
      <c r="S13" s="128"/>
      <c r="T13" s="128"/>
      <c r="U13" s="128"/>
    </row>
    <row r="14" spans="1:21" ht="68.25" customHeight="1" x14ac:dyDescent="0.25">
      <c r="A14" s="128"/>
      <c r="B14" s="426">
        <v>3</v>
      </c>
      <c r="C14" s="423" t="s">
        <v>226</v>
      </c>
      <c r="D14" s="456" t="s">
        <v>227</v>
      </c>
      <c r="E14" s="507">
        <v>1</v>
      </c>
      <c r="F14" s="564" t="s">
        <v>198</v>
      </c>
      <c r="G14" s="179" t="s">
        <v>286</v>
      </c>
      <c r="H14" s="517">
        <v>0.25</v>
      </c>
      <c r="I14" s="140">
        <f>'OAP-DMOT'!I14</f>
        <v>0.3</v>
      </c>
      <c r="J14" s="420">
        <v>0.3</v>
      </c>
      <c r="K14" s="519">
        <f>'OAP-DMOT'!K14</f>
        <v>0.3</v>
      </c>
      <c r="L14" s="520"/>
      <c r="M14" s="519">
        <v>0.7</v>
      </c>
      <c r="N14" s="533">
        <f>+'OAP-DMOT'!N14:N17</f>
        <v>0.7</v>
      </c>
      <c r="O14" s="533">
        <f>+'OAP-DMOT'!Q14:Q17</f>
        <v>1</v>
      </c>
      <c r="P14" s="533">
        <f>+'OAP-DMOT'!R14:R17</f>
        <v>0.25</v>
      </c>
      <c r="Q14" s="530" t="str">
        <f>+'OAP-DMOT'!T14</f>
        <v xml:space="preserve">Se evidencia 457 planes de trabajo personalizados  que evidencia la estructura para priorizar el estudio de los trámites y lograr gestionar oportunamente. </v>
      </c>
      <c r="R14" s="423" t="str">
        <f>+'OAP-DMOT'!U14</f>
        <v>https://invimagovco.sharepoint.com/sites/o365_CC_DDM/CC_DDM_D/Forms/AllItems.aspx?id=%2Fsites%2Fo365%5FCC%5FDDM%2FCC%5FDDM%5FD%2FACUERDOS%20DE%20GESTION%2F2022%2FEVIDENCIAS%20II%20SEMESTRE%20%2D%202109%20A%203112%2F3%2E%20REGISTROS%20SANITARIOS&amp;viewid=e8a78d4d%2D2054%2D4344%2D8647%2D176dec0d318a</v>
      </c>
      <c r="S14" s="128"/>
      <c r="T14" s="128"/>
      <c r="U14" s="128"/>
    </row>
    <row r="15" spans="1:21" ht="68.25" customHeight="1" x14ac:dyDescent="0.25">
      <c r="A15" s="128"/>
      <c r="B15" s="506"/>
      <c r="C15" s="504"/>
      <c r="D15" s="513"/>
      <c r="E15" s="504"/>
      <c r="F15" s="565"/>
      <c r="G15" s="180" t="s">
        <v>287</v>
      </c>
      <c r="H15" s="518"/>
      <c r="I15" s="140">
        <f>'OAP-DMOT'!I15</f>
        <v>0.3</v>
      </c>
      <c r="J15" s="419"/>
      <c r="K15" s="430"/>
      <c r="L15" s="520"/>
      <c r="M15" s="430"/>
      <c r="N15" s="533"/>
      <c r="O15" s="533"/>
      <c r="P15" s="533"/>
      <c r="Q15" s="531"/>
      <c r="R15" s="504"/>
      <c r="S15" s="128"/>
      <c r="T15" s="128"/>
      <c r="U15" s="128"/>
    </row>
    <row r="16" spans="1:21" ht="68.25" customHeight="1" x14ac:dyDescent="0.25">
      <c r="A16" s="128"/>
      <c r="B16" s="506"/>
      <c r="C16" s="504"/>
      <c r="D16" s="513"/>
      <c r="E16" s="504"/>
      <c r="F16" s="565"/>
      <c r="G16" s="180" t="s">
        <v>288</v>
      </c>
      <c r="H16" s="518"/>
      <c r="I16" s="140">
        <f>'OAP-DMOT'!I16</f>
        <v>0.3</v>
      </c>
      <c r="J16" s="419"/>
      <c r="K16" s="430"/>
      <c r="L16" s="520"/>
      <c r="M16" s="430"/>
      <c r="N16" s="533"/>
      <c r="O16" s="533"/>
      <c r="P16" s="533"/>
      <c r="Q16" s="531"/>
      <c r="R16" s="504"/>
      <c r="S16" s="128"/>
      <c r="T16" s="128"/>
      <c r="U16" s="128"/>
    </row>
    <row r="17" spans="1:21" ht="126" customHeight="1" thickBot="1" x14ac:dyDescent="0.3">
      <c r="A17" s="128"/>
      <c r="B17" s="506"/>
      <c r="C17" s="504"/>
      <c r="D17" s="513"/>
      <c r="E17" s="504"/>
      <c r="F17" s="565"/>
      <c r="G17" s="181" t="s">
        <v>289</v>
      </c>
      <c r="H17" s="518"/>
      <c r="I17" s="140">
        <f>'OAP-DMOT'!I17</f>
        <v>0.3</v>
      </c>
      <c r="J17" s="419"/>
      <c r="K17" s="430"/>
      <c r="L17" s="520"/>
      <c r="M17" s="430"/>
      <c r="N17" s="533"/>
      <c r="O17" s="533"/>
      <c r="P17" s="533"/>
      <c r="Q17" s="532"/>
      <c r="R17" s="505"/>
      <c r="S17" s="128"/>
      <c r="T17" s="128"/>
      <c r="U17" s="128"/>
    </row>
    <row r="18" spans="1:21" ht="241.5" customHeight="1" x14ac:dyDescent="0.25">
      <c r="A18" s="128"/>
      <c r="B18" s="426">
        <v>4</v>
      </c>
      <c r="C18" s="423" t="s">
        <v>242</v>
      </c>
      <c r="D18" s="456" t="s">
        <v>243</v>
      </c>
      <c r="E18" s="507">
        <v>1</v>
      </c>
      <c r="F18" s="553" t="s">
        <v>198</v>
      </c>
      <c r="G18" s="179" t="s">
        <v>290</v>
      </c>
      <c r="H18" s="517">
        <v>0.25</v>
      </c>
      <c r="I18" s="140">
        <f>'OAP-DMOT'!I18</f>
        <v>0.3</v>
      </c>
      <c r="J18" s="420">
        <v>0.3</v>
      </c>
      <c r="K18" s="519">
        <f>'OAP-DMOT'!K18</f>
        <v>0.3</v>
      </c>
      <c r="L18" s="520"/>
      <c r="M18" s="519">
        <v>0.7</v>
      </c>
      <c r="N18" s="533">
        <f>'OAP-DMOT'!P18</f>
        <v>0.69999999999999984</v>
      </c>
      <c r="O18" s="533">
        <f>'OAP-DMOT'!Q18</f>
        <v>0.99999999999999978</v>
      </c>
      <c r="P18" s="533">
        <f>'OAP-DMOT'!R18</f>
        <v>0.24999999999999994</v>
      </c>
      <c r="Q18" s="530" t="str">
        <f>+'OAP-DMOT'!T18</f>
        <v>*Listado de asistencia, grabación de la reunión y acta de la unificación de criterios del Grupo Técnico realizada el día 23/11/2022
*Base de datos de programación del Grupo Técnico de visitas de certificación realizadas durante el II semestre del año 2022.</v>
      </c>
      <c r="R18" s="423" t="str">
        <f>+'OAP-DMOT'!U18</f>
        <v>Grupo Técnico:
https://invimagovco.sharepoint.com/:f:/r/sites/o365_CC_DDM/CC_DDM_D/ACUERDOS%20DE%20GESTION/2022/EVIDENCIAS%20II%20SEMESTRE%20-%202109%20A%203112/4.%20VISITAS%20CERTIFICACION/4.1?csf=1&amp;web=1&amp;e=bnoC9L</v>
      </c>
      <c r="S18" s="128"/>
      <c r="T18" s="128"/>
      <c r="U18" s="128"/>
    </row>
    <row r="19" spans="1:21" ht="174.75" customHeight="1" x14ac:dyDescent="0.25">
      <c r="A19" s="128"/>
      <c r="B19" s="506"/>
      <c r="C19" s="504"/>
      <c r="D19" s="513"/>
      <c r="E19" s="504"/>
      <c r="F19" s="516"/>
      <c r="G19" s="180" t="s">
        <v>291</v>
      </c>
      <c r="H19" s="518"/>
      <c r="I19" s="140">
        <f>'OAP-DMOT'!I19</f>
        <v>0.3</v>
      </c>
      <c r="J19" s="419"/>
      <c r="K19" s="430"/>
      <c r="L19" s="520"/>
      <c r="M19" s="430"/>
      <c r="N19" s="533"/>
      <c r="O19" s="533"/>
      <c r="P19" s="533"/>
      <c r="Q19" s="531"/>
      <c r="R19" s="504"/>
      <c r="S19" s="128"/>
      <c r="T19" s="128"/>
      <c r="U19" s="128"/>
    </row>
    <row r="20" spans="1:21" ht="148.5" customHeight="1" thickBot="1" x14ac:dyDescent="0.3">
      <c r="A20" s="128"/>
      <c r="B20" s="506"/>
      <c r="C20" s="504"/>
      <c r="D20" s="513"/>
      <c r="E20" s="505"/>
      <c r="F20" s="516"/>
      <c r="G20" s="181" t="s">
        <v>292</v>
      </c>
      <c r="H20" s="518"/>
      <c r="I20" s="140">
        <f>'OAP-DMOT'!I20</f>
        <v>0.3</v>
      </c>
      <c r="J20" s="419"/>
      <c r="K20" s="430"/>
      <c r="L20" s="520"/>
      <c r="M20" s="430"/>
      <c r="N20" s="533"/>
      <c r="O20" s="533"/>
      <c r="P20" s="533"/>
      <c r="Q20" s="532"/>
      <c r="R20" s="505"/>
      <c r="S20" s="128"/>
      <c r="T20" s="128"/>
      <c r="U20" s="128"/>
    </row>
    <row r="21" spans="1:21" ht="27" customHeight="1" thickBot="1" x14ac:dyDescent="0.35">
      <c r="A21" s="128"/>
      <c r="B21" s="521" t="s">
        <v>48</v>
      </c>
      <c r="C21" s="522"/>
      <c r="D21" s="522"/>
      <c r="E21" s="522"/>
      <c r="F21" s="522"/>
      <c r="G21" s="523"/>
      <c r="H21" s="141">
        <f>IF(SUM(H8:H20)&gt;100%,"supera el 100%",SUM(H8:H20))</f>
        <v>1</v>
      </c>
      <c r="I21" s="142"/>
      <c r="J21" s="142"/>
      <c r="K21" s="202">
        <f>'OAP-DMOT'!K21</f>
        <v>0.33333333333333337</v>
      </c>
      <c r="L21" s="209"/>
      <c r="M21" s="143"/>
      <c r="N21" s="228">
        <f>+'OAP-DMOT'!P21</f>
        <v>0.66666666666666663</v>
      </c>
      <c r="O21" s="225"/>
      <c r="P21" s="227">
        <f>+'OAP-DMOT'!R21</f>
        <v>1</v>
      </c>
      <c r="Q21" s="144"/>
      <c r="R21" s="145"/>
      <c r="S21" s="128"/>
      <c r="T21" s="128"/>
      <c r="U21" s="128"/>
    </row>
    <row r="22" spans="1:21" ht="27" customHeight="1" x14ac:dyDescent="0.25">
      <c r="A22" s="128"/>
      <c r="B22" s="558" t="s">
        <v>257</v>
      </c>
      <c r="C22" s="559"/>
      <c r="D22" s="559"/>
      <c r="E22" s="559"/>
      <c r="F22" s="559"/>
      <c r="G22" s="559"/>
      <c r="H22" s="559"/>
      <c r="I22" s="559"/>
      <c r="J22" s="559"/>
      <c r="K22" s="559"/>
      <c r="L22" s="559"/>
      <c r="M22" s="559"/>
      <c r="N22" s="559"/>
      <c r="O22" s="560"/>
      <c r="P22" s="156"/>
      <c r="Q22" s="156"/>
      <c r="R22" s="157"/>
      <c r="S22" s="128"/>
      <c r="T22" s="128"/>
      <c r="U22" s="128"/>
    </row>
    <row r="23" spans="1:21" ht="76.5" customHeight="1" x14ac:dyDescent="0.25">
      <c r="A23" s="128"/>
      <c r="B23" s="418"/>
      <c r="C23" s="419" t="s">
        <v>258</v>
      </c>
      <c r="D23" s="455" t="s">
        <v>259</v>
      </c>
      <c r="E23" s="420">
        <v>1</v>
      </c>
      <c r="F23" s="419" t="s">
        <v>198</v>
      </c>
      <c r="G23" s="186" t="s">
        <v>293</v>
      </c>
      <c r="H23" s="450">
        <v>0.05</v>
      </c>
      <c r="I23" s="140">
        <f>'OAP-DMOT'!I23</f>
        <v>0.3</v>
      </c>
      <c r="J23" s="420">
        <v>0.3</v>
      </c>
      <c r="K23" s="561">
        <f>'OAP-DMOT'!K23</f>
        <v>1.8750000000000003E-2</v>
      </c>
      <c r="L23" s="562"/>
      <c r="M23" s="450">
        <v>0.7</v>
      </c>
      <c r="N23" s="557">
        <f>'OAP-DMOT'!P23</f>
        <v>2.7250000000000003E-2</v>
      </c>
      <c r="O23" s="557">
        <f>'OAP-DMOT'!Q23</f>
        <v>4.6000000000000006E-2</v>
      </c>
      <c r="P23" s="557">
        <f>'OAP-DMOT'!R23</f>
        <v>4.6000000000000006E-2</v>
      </c>
      <c r="Q23" s="520" t="str">
        <f>+'OAP-DMOT'!T23</f>
        <v>Carpeta FICHAS AJUSTADAS que contiene 11 atchivos
PEDDMOXXXXXX_BACT_18
PEDDMOXXXXXX_BACT_20
PEDDMOXXXXXX_ENF_18
PEDDMOXXXXXX_ESTAD_18
PEDDMOXXXXXX_ING BIOMEDICO_15
PEDDMOXXXXXX_ING BIOMEDICO_16
PEDDMOXXXXXX_ING BIOMEDICO_18
PEDDMOXXXXXX_ING BIOMEDICO_20
PEDDMOXXXXXX_MED_20
PEDDMOXXXXXX_UNIVERSITARIO_11
TODDMOXXXX_Tecnico Operativo
Dos archivos:
2022600338 del 4_11_2022_ASIAGNCIÓN GICAS
R 2022035262 GITPEDDMOXXXXXX_ING BIOMEDICO_15</v>
      </c>
      <c r="R23" s="419" t="str">
        <f>+'OAP-DMOT'!U23</f>
        <v>https://invimagovco.sharepoint.com/:f:/r/sites/o365_CC_DDM/CC_DDM_D/ACUERDOS%20DE%20GESTION/2022/EVIDENCIAS%20II%20SEMESTRE%20-%202109%20A%203112/ADICIONAL%20GICASE?csf=1&amp;web=1&amp;e=avM0Fj</v>
      </c>
      <c r="S23" s="128"/>
      <c r="T23" s="128"/>
      <c r="U23" s="128"/>
    </row>
    <row r="24" spans="1:21" ht="93" customHeight="1" x14ac:dyDescent="0.25">
      <c r="A24" s="128"/>
      <c r="B24" s="418"/>
      <c r="C24" s="419"/>
      <c r="D24" s="455"/>
      <c r="E24" s="420"/>
      <c r="F24" s="419"/>
      <c r="G24" s="186" t="s">
        <v>294</v>
      </c>
      <c r="H24" s="450"/>
      <c r="I24" s="140">
        <f>'OAP-DMOT'!I24</f>
        <v>0.5</v>
      </c>
      <c r="J24" s="420"/>
      <c r="K24" s="561"/>
      <c r="L24" s="535"/>
      <c r="M24" s="450"/>
      <c r="N24" s="557"/>
      <c r="O24" s="557"/>
      <c r="P24" s="557"/>
      <c r="Q24" s="520"/>
      <c r="R24" s="419"/>
      <c r="S24" s="128"/>
      <c r="T24" s="128"/>
      <c r="U24" s="128"/>
    </row>
    <row r="25" spans="1:21" ht="48" customHeight="1" x14ac:dyDescent="0.25">
      <c r="A25" s="128"/>
      <c r="B25" s="418"/>
      <c r="C25" s="419"/>
      <c r="D25" s="455"/>
      <c r="E25" s="419"/>
      <c r="F25" s="419"/>
      <c r="G25" s="186" t="s">
        <v>295</v>
      </c>
      <c r="H25" s="450"/>
      <c r="I25" s="140">
        <f>'OAP-DMOT'!I25</f>
        <v>0.35</v>
      </c>
      <c r="J25" s="419"/>
      <c r="K25" s="561"/>
      <c r="L25" s="535"/>
      <c r="M25" s="450"/>
      <c r="N25" s="557"/>
      <c r="O25" s="557"/>
      <c r="P25" s="557"/>
      <c r="Q25" s="520"/>
      <c r="R25" s="419"/>
      <c r="S25" s="128"/>
      <c r="T25" s="128"/>
      <c r="U25" s="128"/>
    </row>
    <row r="26" spans="1:21" ht="48" customHeight="1" thickBot="1" x14ac:dyDescent="0.3">
      <c r="A26" s="128"/>
      <c r="B26" s="418"/>
      <c r="C26" s="419"/>
      <c r="D26" s="455"/>
      <c r="E26" s="419"/>
      <c r="F26" s="419"/>
      <c r="G26" s="186" t="s">
        <v>296</v>
      </c>
      <c r="H26" s="450"/>
      <c r="I26" s="140">
        <f>'OAP-DMOT'!I26</f>
        <v>0.35</v>
      </c>
      <c r="J26" s="419"/>
      <c r="K26" s="561"/>
      <c r="L26" s="563"/>
      <c r="M26" s="450"/>
      <c r="N26" s="557"/>
      <c r="O26" s="557"/>
      <c r="P26" s="557"/>
      <c r="Q26" s="520"/>
      <c r="R26" s="419"/>
      <c r="S26" s="128"/>
      <c r="T26" s="128"/>
      <c r="U26" s="128"/>
    </row>
    <row r="27" spans="1:21" ht="27" customHeight="1" thickBot="1" x14ac:dyDescent="0.3">
      <c r="A27" s="128"/>
      <c r="B27" s="521" t="s">
        <v>48</v>
      </c>
      <c r="C27" s="522"/>
      <c r="D27" s="522"/>
      <c r="E27" s="522"/>
      <c r="F27" s="522"/>
      <c r="G27" s="523"/>
      <c r="H27" s="141">
        <f>SUM(H21,H23)</f>
        <v>1.05</v>
      </c>
      <c r="I27" s="142"/>
      <c r="J27" s="142"/>
      <c r="K27" s="202">
        <f>SUM(K21,K23)</f>
        <v>0.35208333333333336</v>
      </c>
      <c r="L27" s="143"/>
      <c r="M27" s="143"/>
      <c r="N27" s="228">
        <f>+'OAP-DMOT'!P27</f>
        <v>0.69391666666666663</v>
      </c>
      <c r="O27" s="225"/>
      <c r="P27" s="226">
        <f>SUM(P21,P23)</f>
        <v>1.046</v>
      </c>
      <c r="Q27" s="156"/>
      <c r="R27" s="157"/>
      <c r="S27" s="128"/>
      <c r="T27" s="128"/>
      <c r="U27" s="128"/>
    </row>
    <row r="28" spans="1:21" ht="27" customHeight="1" x14ac:dyDescent="0.25">
      <c r="A28" s="128"/>
      <c r="B28" s="147"/>
      <c r="C28" s="148"/>
      <c r="D28" s="148"/>
      <c r="E28" s="148"/>
      <c r="F28" s="146"/>
      <c r="G28" s="146"/>
      <c r="H28" s="146"/>
      <c r="I28" s="146"/>
      <c r="J28" s="146"/>
      <c r="K28" s="146"/>
      <c r="L28" s="146"/>
      <c r="M28" s="146"/>
      <c r="N28" s="146"/>
      <c r="O28" s="146"/>
      <c r="P28" s="146"/>
      <c r="Q28" s="156"/>
      <c r="R28" s="157"/>
      <c r="S28" s="128"/>
      <c r="T28" s="128"/>
      <c r="U28" s="128"/>
    </row>
    <row r="29" spans="1:21" ht="29.25" customHeight="1" thickBot="1" x14ac:dyDescent="0.3">
      <c r="A29" s="128"/>
      <c r="B29" s="149"/>
      <c r="C29" s="150"/>
      <c r="D29" s="151"/>
      <c r="E29" s="151"/>
      <c r="F29" s="150"/>
      <c r="G29" s="150"/>
      <c r="H29" s="151"/>
      <c r="I29" s="151"/>
      <c r="J29" s="151"/>
      <c r="K29" s="151"/>
      <c r="L29" s="151"/>
      <c r="M29" s="151"/>
      <c r="N29" s="151"/>
      <c r="O29" s="151"/>
      <c r="P29" s="152"/>
      <c r="Q29" s="156"/>
      <c r="R29" s="157"/>
      <c r="S29" s="128"/>
      <c r="T29" s="128"/>
      <c r="U29" s="128"/>
    </row>
    <row r="30" spans="1:21" ht="48.75" customHeight="1" x14ac:dyDescent="0.35">
      <c r="A30" s="128"/>
      <c r="B30" s="149"/>
      <c r="C30" s="153" t="s">
        <v>273</v>
      </c>
      <c r="D30" s="566">
        <f>+'OAP-DMOT'!D30</f>
        <v>44956</v>
      </c>
      <c r="E30" s="567"/>
      <c r="F30" s="151"/>
      <c r="G30" s="476" t="str">
        <f>+'OAP-DMOT'!G30</f>
        <v>Francisco Augusto Giuseppe Rossi Buenaventura</v>
      </c>
      <c r="H30" s="477"/>
      <c r="I30" s="477"/>
      <c r="J30" s="478"/>
      <c r="K30" s="154"/>
      <c r="L30" s="568" t="str">
        <f>+'OAP-DMOT'!L30</f>
        <v xml:space="preserve">Lucia Ayala Rodriguez </v>
      </c>
      <c r="M30" s="480"/>
      <c r="N30" s="480"/>
      <c r="O30" s="481"/>
      <c r="P30" s="155"/>
      <c r="Q30" s="156"/>
      <c r="R30" s="157"/>
      <c r="S30" s="128"/>
      <c r="T30" s="128"/>
      <c r="U30" s="128"/>
    </row>
    <row r="31" spans="1:21" ht="48" customHeight="1" thickBot="1" x14ac:dyDescent="0.3">
      <c r="A31" s="128"/>
      <c r="B31" s="149"/>
      <c r="C31" s="153" t="s">
        <v>275</v>
      </c>
      <c r="D31" s="487" t="s">
        <v>276</v>
      </c>
      <c r="E31" s="488"/>
      <c r="F31" s="151"/>
      <c r="G31" s="489" t="s">
        <v>277</v>
      </c>
      <c r="H31" s="490"/>
      <c r="I31" s="490"/>
      <c r="J31" s="491"/>
      <c r="K31" s="154"/>
      <c r="L31" s="569" t="s">
        <v>278</v>
      </c>
      <c r="M31" s="493"/>
      <c r="N31" s="493"/>
      <c r="O31" s="494"/>
      <c r="P31" s="158"/>
      <c r="Q31" s="159"/>
      <c r="R31" s="160"/>
      <c r="S31" s="128"/>
      <c r="T31" s="128"/>
      <c r="U31" s="128"/>
    </row>
    <row r="32" spans="1:21" ht="27" thickBot="1" x14ac:dyDescent="0.3">
      <c r="A32" s="128"/>
      <c r="B32" s="161"/>
      <c r="C32" s="162"/>
      <c r="D32" s="163"/>
      <c r="E32" s="163"/>
      <c r="F32" s="163"/>
      <c r="G32" s="163"/>
      <c r="H32" s="163"/>
      <c r="I32" s="163"/>
      <c r="J32" s="163"/>
      <c r="K32" s="163"/>
      <c r="L32" s="163"/>
      <c r="M32" s="163"/>
      <c r="N32" s="163"/>
      <c r="O32" s="163"/>
      <c r="P32" s="164"/>
      <c r="Q32" s="163"/>
      <c r="R32" s="165"/>
      <c r="S32" s="128"/>
      <c r="T32" s="128"/>
      <c r="U32" s="128"/>
    </row>
    <row r="33" spans="1:21" ht="26.25" x14ac:dyDescent="0.25">
      <c r="A33" s="128"/>
      <c r="B33" s="128"/>
      <c r="C33" s="128"/>
      <c r="D33" s="128"/>
      <c r="E33" s="128"/>
      <c r="F33" s="128"/>
      <c r="G33" s="128"/>
      <c r="H33" s="128"/>
      <c r="I33" s="128"/>
      <c r="J33" s="128"/>
      <c r="K33" s="128"/>
      <c r="L33" s="128"/>
      <c r="M33" s="128"/>
      <c r="N33" s="128"/>
      <c r="O33" s="128"/>
      <c r="P33" s="128"/>
      <c r="Q33" s="128"/>
      <c r="R33" s="128"/>
      <c r="S33" s="128"/>
      <c r="T33" s="128"/>
      <c r="U33" s="128"/>
    </row>
    <row r="34" spans="1:21" ht="26.25" x14ac:dyDescent="0.25">
      <c r="A34" s="128"/>
      <c r="B34" s="128"/>
      <c r="C34" s="128"/>
      <c r="D34" s="128"/>
      <c r="E34" s="128"/>
      <c r="F34" s="128"/>
      <c r="G34" s="128"/>
      <c r="H34" s="128"/>
      <c r="I34" s="128"/>
      <c r="J34" s="128"/>
      <c r="K34" s="128"/>
      <c r="L34" s="128"/>
      <c r="M34" s="128"/>
      <c r="N34" s="128"/>
      <c r="O34" s="128"/>
      <c r="P34" s="128"/>
      <c r="Q34" s="128"/>
      <c r="R34" s="128"/>
      <c r="S34" s="128"/>
      <c r="T34" s="128"/>
      <c r="U34" s="128"/>
    </row>
  </sheetData>
  <mergeCells count="99">
    <mergeCell ref="D30:E30"/>
    <mergeCell ref="G30:J30"/>
    <mergeCell ref="L30:O30"/>
    <mergeCell ref="D31:E31"/>
    <mergeCell ref="G31:J31"/>
    <mergeCell ref="L31:O31"/>
    <mergeCell ref="N23:N26"/>
    <mergeCell ref="O23:O26"/>
    <mergeCell ref="P23:P26"/>
    <mergeCell ref="D14:D17"/>
    <mergeCell ref="B22:O22"/>
    <mergeCell ref="B23:B26"/>
    <mergeCell ref="C23:C26"/>
    <mergeCell ref="D23:D26"/>
    <mergeCell ref="E23:E26"/>
    <mergeCell ref="F23:F26"/>
    <mergeCell ref="H23:H26"/>
    <mergeCell ref="J23:J26"/>
    <mergeCell ref="K23:K26"/>
    <mergeCell ref="L23:L26"/>
    <mergeCell ref="M23:M26"/>
    <mergeCell ref="F14:F17"/>
    <mergeCell ref="H18:H20"/>
    <mergeCell ref="J18:J20"/>
    <mergeCell ref="K18:K20"/>
    <mergeCell ref="L18:L20"/>
    <mergeCell ref="F11:F13"/>
    <mergeCell ref="B18:B20"/>
    <mergeCell ref="C18:C20"/>
    <mergeCell ref="D18:D20"/>
    <mergeCell ref="E18:E20"/>
    <mergeCell ref="F18:F20"/>
    <mergeCell ref="R18:R20"/>
    <mergeCell ref="M18:M20"/>
    <mergeCell ref="N18:N20"/>
    <mergeCell ref="O14:O17"/>
    <mergeCell ref="P14:P17"/>
    <mergeCell ref="Q14:Q17"/>
    <mergeCell ref="R14:R17"/>
    <mergeCell ref="M14:M17"/>
    <mergeCell ref="N14:N17"/>
    <mergeCell ref="O18:O20"/>
    <mergeCell ref="B6:B7"/>
    <mergeCell ref="C6:C7"/>
    <mergeCell ref="D6:D7"/>
    <mergeCell ref="E6:E7"/>
    <mergeCell ref="F6:F7"/>
    <mergeCell ref="F1:F2"/>
    <mergeCell ref="H1:H2"/>
    <mergeCell ref="B4:R4"/>
    <mergeCell ref="B5:H5"/>
    <mergeCell ref="K5:N5"/>
    <mergeCell ref="O5:R5"/>
    <mergeCell ref="G6:G7"/>
    <mergeCell ref="N8:N10"/>
    <mergeCell ref="O8:O10"/>
    <mergeCell ref="P8:P10"/>
    <mergeCell ref="Q8:Q10"/>
    <mergeCell ref="H6:I7"/>
    <mergeCell ref="J6:N6"/>
    <mergeCell ref="O6:O7"/>
    <mergeCell ref="P6:P7"/>
    <mergeCell ref="Q6:R6"/>
    <mergeCell ref="M8:M10"/>
    <mergeCell ref="H8:H10"/>
    <mergeCell ref="J8:J10"/>
    <mergeCell ref="K8:K10"/>
    <mergeCell ref="B27:G27"/>
    <mergeCell ref="B21:G21"/>
    <mergeCell ref="Q23:Q26"/>
    <mergeCell ref="R23:R26"/>
    <mergeCell ref="H11:H13"/>
    <mergeCell ref="J11:J13"/>
    <mergeCell ref="K11:K13"/>
    <mergeCell ref="M11:M13"/>
    <mergeCell ref="N11:N13"/>
    <mergeCell ref="O11:O13"/>
    <mergeCell ref="P11:P13"/>
    <mergeCell ref="Q11:Q13"/>
    <mergeCell ref="B14:B17"/>
    <mergeCell ref="C14:C17"/>
    <mergeCell ref="P18:P20"/>
    <mergeCell ref="Q18:Q20"/>
    <mergeCell ref="R11:R13"/>
    <mergeCell ref="B11:B12"/>
    <mergeCell ref="E14:E17"/>
    <mergeCell ref="R8:R10"/>
    <mergeCell ref="C11:C13"/>
    <mergeCell ref="D11:D13"/>
    <mergeCell ref="E11:E13"/>
    <mergeCell ref="B8:B10"/>
    <mergeCell ref="C8:C10"/>
    <mergeCell ref="D8:D10"/>
    <mergeCell ref="E8:E10"/>
    <mergeCell ref="F8:F10"/>
    <mergeCell ref="H14:H17"/>
    <mergeCell ref="J14:J17"/>
    <mergeCell ref="K14:K17"/>
    <mergeCell ref="L14:L17"/>
  </mergeCells>
  <dataValidations disablePrompts="1" count="1">
    <dataValidation allowBlank="1" showInputMessage="1" showErrorMessage="1" errorTitle="error" error="solo datos númericos" sqref="H23:H26 H8:H11 H14:H20" xr:uid="{00000000-0002-0000-0B00-000000000000}"/>
  </dataValidations>
  <printOptions horizontalCentered="1" verticalCentered="1"/>
  <pageMargins left="0.23622047244094491" right="0.23622047244094491" top="0.74803149606299213" bottom="0.74803149606299213" header="0.31496062992125984" footer="0.31496062992125984"/>
  <pageSetup paperSize="171" scale="21" orientation="landscape" r:id="rId1"/>
  <rowBreaks count="2" manualBreakCount="2">
    <brk id="21" max="17" man="1"/>
    <brk id="32" max="17" man="1"/>
  </rowBreaks>
  <colBreaks count="1" manualBreakCount="1">
    <brk id="18" max="40"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M248"/>
  <sheetViews>
    <sheetView view="pageBreakPreview" topLeftCell="A43" zoomScaleNormal="121" zoomScaleSheetLayoutView="100" zoomScalePageLayoutView="121" workbookViewId="0">
      <selection activeCell="D64" sqref="D64"/>
    </sheetView>
  </sheetViews>
  <sheetFormatPr baseColWidth="10" defaultColWidth="10.85546875" defaultRowHeight="15" x14ac:dyDescent="0.25"/>
  <cols>
    <col min="1" max="1" width="2.42578125" style="58"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8" customWidth="1"/>
    <col min="12" max="12" width="16.42578125" style="58" customWidth="1"/>
    <col min="13" max="16384" width="10.85546875" style="1"/>
  </cols>
  <sheetData>
    <row r="1" spans="1:12" ht="72" customHeight="1" thickBot="1" x14ac:dyDescent="0.3">
      <c r="B1" s="58"/>
      <c r="C1" s="58"/>
      <c r="D1" s="58"/>
      <c r="E1" s="58"/>
      <c r="F1" s="58"/>
      <c r="G1" s="58"/>
      <c r="H1" s="58"/>
      <c r="I1" s="58"/>
      <c r="J1" s="58"/>
      <c r="L1"/>
    </row>
    <row r="2" spans="1:12" ht="35.1" customHeight="1" thickBot="1" x14ac:dyDescent="0.3">
      <c r="A2" s="75"/>
      <c r="B2" s="605" t="s">
        <v>297</v>
      </c>
      <c r="C2" s="606"/>
      <c r="D2" s="606"/>
      <c r="E2" s="606"/>
      <c r="F2" s="606"/>
      <c r="G2" s="606"/>
      <c r="H2" s="606"/>
      <c r="I2" s="606"/>
      <c r="J2" s="607"/>
      <c r="K2" s="75"/>
      <c r="L2"/>
    </row>
    <row r="3" spans="1:12" ht="5.0999999999999996" customHeight="1" thickBot="1" x14ac:dyDescent="0.3">
      <c r="A3" s="75"/>
      <c r="B3" s="76"/>
      <c r="C3" s="76"/>
      <c r="D3" s="77"/>
      <c r="E3" s="76"/>
      <c r="F3" s="76"/>
      <c r="G3" s="76"/>
      <c r="H3" s="76"/>
      <c r="I3" s="76"/>
      <c r="J3" s="76"/>
      <c r="K3" s="75"/>
      <c r="L3"/>
    </row>
    <row r="4" spans="1:12" ht="21.95" customHeight="1" thickBot="1" x14ac:dyDescent="0.3">
      <c r="A4" s="75"/>
      <c r="B4" s="608" t="s">
        <v>298</v>
      </c>
      <c r="C4" s="609"/>
      <c r="D4" s="609"/>
      <c r="E4" s="609"/>
      <c r="F4" s="609"/>
      <c r="G4" s="609"/>
      <c r="H4" s="609"/>
      <c r="I4" s="609"/>
      <c r="J4" s="610"/>
      <c r="K4" s="75"/>
      <c r="L4"/>
    </row>
    <row r="5" spans="1:12" s="53" customFormat="1" ht="16.5" x14ac:dyDescent="0.3">
      <c r="A5" s="75"/>
      <c r="B5" s="78"/>
      <c r="C5" s="611" t="s">
        <v>299</v>
      </c>
      <c r="D5" s="611"/>
      <c r="E5" s="611"/>
      <c r="F5" s="611"/>
      <c r="G5" s="611"/>
      <c r="H5" s="611"/>
      <c r="I5" s="611"/>
      <c r="J5" s="79">
        <v>5</v>
      </c>
      <c r="K5" s="75"/>
      <c r="L5"/>
    </row>
    <row r="6" spans="1:12" s="53" customFormat="1" ht="16.5" x14ac:dyDescent="0.3">
      <c r="A6" s="75"/>
      <c r="B6" s="80"/>
      <c r="C6" s="604" t="s">
        <v>300</v>
      </c>
      <c r="D6" s="604"/>
      <c r="E6" s="604"/>
      <c r="F6" s="604"/>
      <c r="G6" s="604"/>
      <c r="H6" s="604"/>
      <c r="I6" s="604"/>
      <c r="J6" s="81">
        <v>4</v>
      </c>
      <c r="K6" s="75"/>
      <c r="L6"/>
    </row>
    <row r="7" spans="1:12" s="53" customFormat="1" ht="16.5" x14ac:dyDescent="0.3">
      <c r="A7" s="75"/>
      <c r="B7" s="80"/>
      <c r="C7" s="604" t="s">
        <v>87</v>
      </c>
      <c r="D7" s="604"/>
      <c r="E7" s="604"/>
      <c r="F7" s="604"/>
      <c r="G7" s="604"/>
      <c r="H7" s="604"/>
      <c r="I7" s="604"/>
      <c r="J7" s="81">
        <v>3</v>
      </c>
      <c r="K7" s="75"/>
      <c r="L7"/>
    </row>
    <row r="8" spans="1:12" s="53" customFormat="1" ht="16.5" x14ac:dyDescent="0.3">
      <c r="A8" s="75"/>
      <c r="B8" s="80"/>
      <c r="C8" s="604" t="s">
        <v>88</v>
      </c>
      <c r="D8" s="604"/>
      <c r="E8" s="604"/>
      <c r="F8" s="604"/>
      <c r="G8" s="604"/>
      <c r="H8" s="604"/>
      <c r="I8" s="604"/>
      <c r="J8" s="81">
        <v>2</v>
      </c>
      <c r="K8" s="75"/>
      <c r="L8"/>
    </row>
    <row r="9" spans="1:12" s="53" customFormat="1" ht="17.25" thickBot="1" x14ac:dyDescent="0.35">
      <c r="A9" s="75"/>
      <c r="B9" s="82"/>
      <c r="C9" s="591" t="s">
        <v>301</v>
      </c>
      <c r="D9" s="592"/>
      <c r="E9" s="592"/>
      <c r="F9" s="592"/>
      <c r="G9" s="592"/>
      <c r="H9" s="592"/>
      <c r="I9" s="592"/>
      <c r="J9" s="83">
        <v>1</v>
      </c>
      <c r="K9" s="75"/>
      <c r="L9"/>
    </row>
    <row r="10" spans="1:12" s="53" customFormat="1" ht="22.5" customHeight="1" thickBot="1" x14ac:dyDescent="0.35">
      <c r="A10" s="75"/>
      <c r="B10" s="75"/>
      <c r="C10" s="84"/>
      <c r="D10" s="84"/>
      <c r="E10" s="84"/>
      <c r="F10" s="84"/>
      <c r="G10" s="84"/>
      <c r="H10" s="84"/>
      <c r="I10" s="84"/>
      <c r="J10" s="85"/>
      <c r="K10" s="75"/>
      <c r="L10"/>
    </row>
    <row r="11" spans="1:12" ht="33" customHeight="1" x14ac:dyDescent="0.25">
      <c r="A11" s="75"/>
      <c r="B11" s="593" t="s">
        <v>302</v>
      </c>
      <c r="C11" s="594"/>
      <c r="D11" s="594" t="s">
        <v>303</v>
      </c>
      <c r="E11" s="594" t="s">
        <v>304</v>
      </c>
      <c r="F11" s="594"/>
      <c r="G11" s="594"/>
      <c r="H11" s="599" t="s">
        <v>305</v>
      </c>
      <c r="I11" s="602" t="s">
        <v>306</v>
      </c>
      <c r="J11" s="588" t="s">
        <v>307</v>
      </c>
      <c r="K11" s="59"/>
      <c r="L11"/>
    </row>
    <row r="12" spans="1:12" ht="27.75" customHeight="1" x14ac:dyDescent="0.25">
      <c r="A12" s="75"/>
      <c r="B12" s="595"/>
      <c r="C12" s="596"/>
      <c r="D12" s="596"/>
      <c r="E12" s="97" t="s">
        <v>308</v>
      </c>
      <c r="F12" s="97" t="s">
        <v>309</v>
      </c>
      <c r="G12" s="97" t="s">
        <v>310</v>
      </c>
      <c r="H12" s="600"/>
      <c r="I12" s="603"/>
      <c r="J12" s="589"/>
      <c r="K12" s="59"/>
      <c r="L12"/>
    </row>
    <row r="13" spans="1:12" ht="15.75" customHeight="1" x14ac:dyDescent="0.25">
      <c r="A13" s="75"/>
      <c r="B13" s="597"/>
      <c r="C13" s="598"/>
      <c r="D13" s="598"/>
      <c r="E13" s="54">
        <v>0.6</v>
      </c>
      <c r="F13" s="54">
        <v>0.2</v>
      </c>
      <c r="G13" s="54">
        <v>0.2</v>
      </c>
      <c r="H13" s="601"/>
      <c r="I13" s="603"/>
      <c r="J13" s="590"/>
      <c r="K13" s="59"/>
      <c r="L13"/>
    </row>
    <row r="14" spans="1:12" ht="22.5" x14ac:dyDescent="0.25">
      <c r="A14" s="75"/>
      <c r="B14" s="576">
        <v>1</v>
      </c>
      <c r="C14" s="576" t="s">
        <v>311</v>
      </c>
      <c r="D14" s="103" t="s">
        <v>312</v>
      </c>
      <c r="E14" s="87"/>
      <c r="F14" s="87"/>
      <c r="G14" s="87"/>
      <c r="H14" s="582"/>
      <c r="I14" s="582">
        <f>SUM(E21:G21)</f>
        <v>0</v>
      </c>
      <c r="J14" s="583"/>
      <c r="K14" s="59"/>
      <c r="L14"/>
    </row>
    <row r="15" spans="1:12" ht="67.5" x14ac:dyDescent="0.25">
      <c r="A15" s="75"/>
      <c r="B15" s="576"/>
      <c r="C15" s="576"/>
      <c r="D15" s="103" t="s">
        <v>313</v>
      </c>
      <c r="E15" s="87"/>
      <c r="F15" s="87"/>
      <c r="G15" s="87"/>
      <c r="H15" s="582"/>
      <c r="I15" s="582"/>
      <c r="J15" s="583"/>
      <c r="K15" s="59"/>
      <c r="L15"/>
    </row>
    <row r="16" spans="1:12" ht="33.75" x14ac:dyDescent="0.25">
      <c r="A16" s="75"/>
      <c r="B16" s="576"/>
      <c r="C16" s="576"/>
      <c r="D16" s="103" t="s">
        <v>314</v>
      </c>
      <c r="E16" s="87"/>
      <c r="F16" s="87"/>
      <c r="G16" s="87"/>
      <c r="H16" s="582"/>
      <c r="I16" s="582"/>
      <c r="J16" s="583"/>
      <c r="K16" s="59"/>
      <c r="L16"/>
    </row>
    <row r="17" spans="1:12" ht="33.75" x14ac:dyDescent="0.25">
      <c r="A17" s="75"/>
      <c r="B17" s="576"/>
      <c r="C17" s="576"/>
      <c r="D17" s="103" t="s">
        <v>315</v>
      </c>
      <c r="E17" s="87"/>
      <c r="F17" s="87"/>
      <c r="G17" s="87"/>
      <c r="H17" s="582"/>
      <c r="I17" s="582"/>
      <c r="J17" s="583"/>
      <c r="K17" s="59"/>
      <c r="L17"/>
    </row>
    <row r="18" spans="1:12" ht="45" x14ac:dyDescent="0.25">
      <c r="A18" s="75"/>
      <c r="B18" s="576"/>
      <c r="C18" s="576"/>
      <c r="D18" s="103" t="s">
        <v>316</v>
      </c>
      <c r="E18" s="87"/>
      <c r="F18" s="87"/>
      <c r="G18" s="87"/>
      <c r="H18" s="582"/>
      <c r="I18" s="582"/>
      <c r="J18" s="583"/>
      <c r="K18" s="59"/>
      <c r="L18"/>
    </row>
    <row r="19" spans="1:12" ht="45" x14ac:dyDescent="0.25">
      <c r="A19" s="75"/>
      <c r="B19" s="576"/>
      <c r="C19" s="576"/>
      <c r="D19" s="103" t="s">
        <v>317</v>
      </c>
      <c r="E19" s="87"/>
      <c r="F19" s="87"/>
      <c r="G19" s="87"/>
      <c r="H19" s="582"/>
      <c r="I19" s="582"/>
      <c r="J19" s="583"/>
      <c r="K19" s="59"/>
      <c r="L19"/>
    </row>
    <row r="20" spans="1:12" ht="33.75" x14ac:dyDescent="0.25">
      <c r="A20" s="75"/>
      <c r="B20" s="576"/>
      <c r="C20" s="576"/>
      <c r="D20" s="103" t="s">
        <v>318</v>
      </c>
      <c r="E20" s="87"/>
      <c r="F20" s="87"/>
      <c r="G20" s="87"/>
      <c r="H20" s="582"/>
      <c r="I20" s="582"/>
      <c r="J20" s="583"/>
      <c r="K20" s="59"/>
      <c r="L20"/>
    </row>
    <row r="21" spans="1:12" ht="24.75" customHeight="1" x14ac:dyDescent="0.25">
      <c r="A21" s="75"/>
      <c r="B21" s="570" t="s">
        <v>319</v>
      </c>
      <c r="C21" s="570"/>
      <c r="D21" s="570"/>
      <c r="E21" s="51">
        <f>SUM(E14:E20)/7*60%</f>
        <v>0</v>
      </c>
      <c r="F21" s="55">
        <f>SUM(F14:F20)/7*20%</f>
        <v>0</v>
      </c>
      <c r="G21" s="55">
        <f>SUM(G14:G20)/7*20%</f>
        <v>0</v>
      </c>
      <c r="H21" s="582"/>
      <c r="I21" s="582"/>
      <c r="J21" s="583"/>
      <c r="K21" s="59"/>
      <c r="L21"/>
    </row>
    <row r="22" spans="1:12" ht="45" x14ac:dyDescent="0.25">
      <c r="A22" s="75"/>
      <c r="B22" s="576">
        <v>2</v>
      </c>
      <c r="C22" s="576" t="s">
        <v>320</v>
      </c>
      <c r="D22" s="103" t="s">
        <v>321</v>
      </c>
      <c r="E22" s="98"/>
      <c r="F22" s="98"/>
      <c r="G22" s="98"/>
      <c r="H22" s="582"/>
      <c r="I22" s="582">
        <f>SUM(E27:G27)</f>
        <v>0</v>
      </c>
      <c r="J22" s="581"/>
      <c r="K22" s="59"/>
      <c r="L22"/>
    </row>
    <row r="23" spans="1:12" ht="45" x14ac:dyDescent="0.25">
      <c r="A23" s="75"/>
      <c r="B23" s="576"/>
      <c r="C23" s="576"/>
      <c r="D23" s="103" t="s">
        <v>322</v>
      </c>
      <c r="E23" s="98"/>
      <c r="F23" s="98"/>
      <c r="G23" s="98"/>
      <c r="H23" s="582"/>
      <c r="I23" s="582"/>
      <c r="J23" s="581"/>
      <c r="K23" s="59"/>
      <c r="L23"/>
    </row>
    <row r="24" spans="1:12" ht="56.25" x14ac:dyDescent="0.25">
      <c r="A24" s="75"/>
      <c r="B24" s="576"/>
      <c r="C24" s="576"/>
      <c r="D24" s="103" t="s">
        <v>323</v>
      </c>
      <c r="E24" s="98"/>
      <c r="F24" s="98"/>
      <c r="G24" s="98"/>
      <c r="H24" s="582"/>
      <c r="I24" s="582"/>
      <c r="J24" s="581"/>
      <c r="K24" s="59"/>
      <c r="L24"/>
    </row>
    <row r="25" spans="1:12" ht="33.75" x14ac:dyDescent="0.25">
      <c r="A25" s="75"/>
      <c r="B25" s="576"/>
      <c r="C25" s="576"/>
      <c r="D25" s="103" t="s">
        <v>324</v>
      </c>
      <c r="E25" s="98"/>
      <c r="F25" s="98"/>
      <c r="G25" s="98"/>
      <c r="H25" s="582"/>
      <c r="I25" s="582"/>
      <c r="J25" s="581"/>
      <c r="K25" s="59"/>
      <c r="L25"/>
    </row>
    <row r="26" spans="1:12" ht="22.5" x14ac:dyDescent="0.25">
      <c r="A26" s="75"/>
      <c r="B26" s="576"/>
      <c r="C26" s="576"/>
      <c r="D26" s="103" t="s">
        <v>325</v>
      </c>
      <c r="E26" s="98"/>
      <c r="F26" s="98"/>
      <c r="G26" s="98"/>
      <c r="H26" s="582"/>
      <c r="I26" s="582"/>
      <c r="J26" s="581"/>
      <c r="K26" s="59"/>
      <c r="L26"/>
    </row>
    <row r="27" spans="1:12" ht="24.75" customHeight="1" x14ac:dyDescent="0.25">
      <c r="A27" s="75"/>
      <c r="B27" s="570" t="s">
        <v>326</v>
      </c>
      <c r="C27" s="570"/>
      <c r="D27" s="570"/>
      <c r="E27" s="55">
        <f>SUM(E22:E26)/5*60%</f>
        <v>0</v>
      </c>
      <c r="F27" s="55">
        <f>SUM(F22:F26)/5*20%</f>
        <v>0</v>
      </c>
      <c r="G27" s="55">
        <f>SUM(G22:G26)/5*20%</f>
        <v>0</v>
      </c>
      <c r="H27" s="582"/>
      <c r="I27" s="582"/>
      <c r="J27" s="581"/>
      <c r="K27" s="59"/>
      <c r="L27"/>
    </row>
    <row r="28" spans="1:12" ht="15" customHeight="1" x14ac:dyDescent="0.25">
      <c r="A28" s="75"/>
      <c r="B28" s="576">
        <v>3</v>
      </c>
      <c r="C28" s="576" t="s">
        <v>327</v>
      </c>
      <c r="D28" s="103" t="s">
        <v>328</v>
      </c>
      <c r="E28" s="98"/>
      <c r="F28" s="98"/>
      <c r="G28" s="98"/>
      <c r="H28" s="577"/>
      <c r="I28" s="582">
        <f>SUM(E34:G34)</f>
        <v>0</v>
      </c>
      <c r="J28" s="581"/>
      <c r="K28" s="59"/>
      <c r="L28"/>
    </row>
    <row r="29" spans="1:12" ht="56.25" x14ac:dyDescent="0.25">
      <c r="A29" s="75"/>
      <c r="B29" s="576"/>
      <c r="C29" s="576"/>
      <c r="D29" s="103" t="s">
        <v>329</v>
      </c>
      <c r="E29" s="98"/>
      <c r="F29" s="98"/>
      <c r="G29" s="98"/>
      <c r="H29" s="577"/>
      <c r="I29" s="582"/>
      <c r="J29" s="581"/>
      <c r="K29" s="59"/>
      <c r="L29"/>
    </row>
    <row r="30" spans="1:12" ht="45" x14ac:dyDescent="0.25">
      <c r="A30" s="75"/>
      <c r="B30" s="576"/>
      <c r="C30" s="576"/>
      <c r="D30" s="103" t="s">
        <v>330</v>
      </c>
      <c r="E30" s="98"/>
      <c r="F30" s="98"/>
      <c r="G30" s="98"/>
      <c r="H30" s="577"/>
      <c r="I30" s="582"/>
      <c r="J30" s="581"/>
      <c r="K30" s="59"/>
      <c r="L30"/>
    </row>
    <row r="31" spans="1:12" ht="33.75" x14ac:dyDescent="0.25">
      <c r="A31" s="75"/>
      <c r="B31" s="576"/>
      <c r="C31" s="576"/>
      <c r="D31" s="103" t="s">
        <v>331</v>
      </c>
      <c r="E31" s="98"/>
      <c r="F31" s="98"/>
      <c r="G31" s="98"/>
      <c r="H31" s="577"/>
      <c r="I31" s="582"/>
      <c r="J31" s="581"/>
      <c r="K31" s="59"/>
      <c r="L31"/>
    </row>
    <row r="32" spans="1:12" ht="15" customHeight="1" x14ac:dyDescent="0.25">
      <c r="A32" s="75"/>
      <c r="B32" s="576"/>
      <c r="C32" s="576"/>
      <c r="D32" s="103" t="s">
        <v>332</v>
      </c>
      <c r="E32" s="98"/>
      <c r="F32" s="98"/>
      <c r="G32" s="98"/>
      <c r="H32" s="577"/>
      <c r="I32" s="582"/>
      <c r="J32" s="581"/>
      <c r="K32" s="59"/>
      <c r="L32"/>
    </row>
    <row r="33" spans="1:12" ht="22.5" x14ac:dyDescent="0.25">
      <c r="A33" s="75"/>
      <c r="B33" s="576"/>
      <c r="C33" s="182"/>
      <c r="D33" s="103" t="s">
        <v>333</v>
      </c>
      <c r="E33" s="98"/>
      <c r="F33" s="98"/>
      <c r="G33" s="98"/>
      <c r="H33" s="577"/>
      <c r="I33" s="582"/>
      <c r="J33" s="581"/>
      <c r="K33" s="59"/>
      <c r="L33"/>
    </row>
    <row r="34" spans="1:12" ht="24.75" customHeight="1" x14ac:dyDescent="0.25">
      <c r="A34" s="75"/>
      <c r="B34" s="570" t="s">
        <v>326</v>
      </c>
      <c r="C34" s="570"/>
      <c r="D34" s="570"/>
      <c r="E34" s="55">
        <f>SUM(E28:E33)/6*60%</f>
        <v>0</v>
      </c>
      <c r="F34" s="55">
        <f>SUM(F28:F33)/6*20%</f>
        <v>0</v>
      </c>
      <c r="G34" s="55">
        <f>SUM(G28:G33)/6*20%</f>
        <v>0</v>
      </c>
      <c r="H34" s="577"/>
      <c r="I34" s="582"/>
      <c r="J34" s="581"/>
      <c r="K34" s="59"/>
      <c r="L34"/>
    </row>
    <row r="35" spans="1:12" ht="45" x14ac:dyDescent="0.25">
      <c r="A35" s="75"/>
      <c r="B35" s="576">
        <v>4</v>
      </c>
      <c r="C35" s="576" t="s">
        <v>334</v>
      </c>
      <c r="D35" s="103" t="s">
        <v>335</v>
      </c>
      <c r="E35" s="99"/>
      <c r="F35" s="99"/>
      <c r="G35" s="99"/>
      <c r="H35" s="584"/>
      <c r="I35" s="578">
        <f>SUM(E41:G41)</f>
        <v>0</v>
      </c>
      <c r="J35" s="587"/>
      <c r="K35" s="59"/>
      <c r="L35"/>
    </row>
    <row r="36" spans="1:12" ht="45" x14ac:dyDescent="0.25">
      <c r="A36" s="75"/>
      <c r="B36" s="576"/>
      <c r="C36" s="576"/>
      <c r="D36" s="103" t="s">
        <v>336</v>
      </c>
      <c r="E36" s="99"/>
      <c r="F36" s="99"/>
      <c r="G36" s="99"/>
      <c r="H36" s="585"/>
      <c r="I36" s="579"/>
      <c r="J36" s="587"/>
      <c r="K36" s="59"/>
      <c r="L36"/>
    </row>
    <row r="37" spans="1:12" ht="33.75" x14ac:dyDescent="0.25">
      <c r="A37" s="75"/>
      <c r="B37" s="576"/>
      <c r="C37" s="576"/>
      <c r="D37" s="103" t="s">
        <v>337</v>
      </c>
      <c r="E37" s="99"/>
      <c r="F37" s="99"/>
      <c r="G37" s="99"/>
      <c r="H37" s="585"/>
      <c r="I37" s="579"/>
      <c r="J37" s="587"/>
      <c r="K37" s="59"/>
      <c r="L37"/>
    </row>
    <row r="38" spans="1:12" ht="45" x14ac:dyDescent="0.25">
      <c r="A38" s="75"/>
      <c r="B38" s="576"/>
      <c r="C38" s="576"/>
      <c r="D38" s="103" t="s">
        <v>338</v>
      </c>
      <c r="E38" s="99"/>
      <c r="F38" s="99"/>
      <c r="G38" s="99"/>
      <c r="H38" s="585"/>
      <c r="I38" s="579"/>
      <c r="J38" s="587"/>
      <c r="K38" s="59"/>
      <c r="L38"/>
    </row>
    <row r="39" spans="1:12" ht="22.5" x14ac:dyDescent="0.25">
      <c r="A39" s="75"/>
      <c r="B39" s="576"/>
      <c r="C39" s="576"/>
      <c r="D39" s="103" t="s">
        <v>339</v>
      </c>
      <c r="E39" s="99"/>
      <c r="F39" s="99"/>
      <c r="G39" s="99"/>
      <c r="H39" s="585"/>
      <c r="I39" s="579"/>
      <c r="J39" s="587"/>
      <c r="K39" s="59"/>
      <c r="L39"/>
    </row>
    <row r="40" spans="1:12" ht="15" customHeight="1" x14ac:dyDescent="0.25">
      <c r="A40" s="75"/>
      <c r="B40" s="576"/>
      <c r="C40" s="182"/>
      <c r="D40" s="103" t="s">
        <v>340</v>
      </c>
      <c r="E40" s="99"/>
      <c r="F40" s="99"/>
      <c r="G40" s="99"/>
      <c r="H40" s="585"/>
      <c r="I40" s="579"/>
      <c r="J40" s="587"/>
      <c r="K40" s="59"/>
      <c r="L40"/>
    </row>
    <row r="41" spans="1:12" ht="24.75" customHeight="1" x14ac:dyDescent="0.25">
      <c r="A41" s="75"/>
      <c r="B41" s="570" t="s">
        <v>326</v>
      </c>
      <c r="C41" s="570"/>
      <c r="D41" s="570"/>
      <c r="E41" s="55">
        <f>SUM(E35:E40)/6*60%</f>
        <v>0</v>
      </c>
      <c r="F41" s="55">
        <f>SUM(F35:F40)/6*20%</f>
        <v>0</v>
      </c>
      <c r="G41" s="55">
        <f>SUM(G35:G40)/6*20%</f>
        <v>0</v>
      </c>
      <c r="H41" s="586"/>
      <c r="I41" s="580"/>
      <c r="J41" s="587"/>
      <c r="K41" s="59"/>
      <c r="L41"/>
    </row>
    <row r="42" spans="1:12" ht="45" customHeight="1" x14ac:dyDescent="0.25">
      <c r="A42" s="75"/>
      <c r="B42" s="576">
        <v>5</v>
      </c>
      <c r="C42" s="576" t="s">
        <v>341</v>
      </c>
      <c r="D42" s="103" t="s">
        <v>342</v>
      </c>
      <c r="E42" s="87"/>
      <c r="F42" s="87"/>
      <c r="G42" s="87"/>
      <c r="H42" s="582"/>
      <c r="I42" s="582">
        <f>SUM(E48:G48)</f>
        <v>0</v>
      </c>
      <c r="J42" s="583"/>
      <c r="K42" s="59"/>
      <c r="L42"/>
    </row>
    <row r="43" spans="1:12" ht="45" x14ac:dyDescent="0.25">
      <c r="A43" s="75"/>
      <c r="B43" s="576"/>
      <c r="C43" s="576"/>
      <c r="D43" s="103" t="s">
        <v>343</v>
      </c>
      <c r="E43" s="87"/>
      <c r="F43" s="87"/>
      <c r="G43" s="87"/>
      <c r="H43" s="582"/>
      <c r="I43" s="582"/>
      <c r="J43" s="583"/>
      <c r="K43" s="59"/>
      <c r="L43"/>
    </row>
    <row r="44" spans="1:12" ht="45" x14ac:dyDescent="0.25">
      <c r="A44" s="75"/>
      <c r="B44" s="576"/>
      <c r="C44" s="576"/>
      <c r="D44" s="103" t="s">
        <v>344</v>
      </c>
      <c r="E44" s="87"/>
      <c r="F44" s="87"/>
      <c r="G44" s="87"/>
      <c r="H44" s="582"/>
      <c r="I44" s="582"/>
      <c r="J44" s="583"/>
      <c r="K44" s="59"/>
      <c r="L44"/>
    </row>
    <row r="45" spans="1:12" ht="22.5" x14ac:dyDescent="0.25">
      <c r="A45" s="75"/>
      <c r="B45" s="576"/>
      <c r="C45" s="576"/>
      <c r="D45" s="103" t="s">
        <v>345</v>
      </c>
      <c r="E45" s="87"/>
      <c r="F45" s="87"/>
      <c r="G45" s="87"/>
      <c r="H45" s="582"/>
      <c r="I45" s="582"/>
      <c r="J45" s="583"/>
      <c r="K45" s="59"/>
      <c r="L45"/>
    </row>
    <row r="46" spans="1:12" ht="45" x14ac:dyDescent="0.25">
      <c r="A46" s="75"/>
      <c r="B46" s="576"/>
      <c r="C46" s="576"/>
      <c r="D46" s="103" t="s">
        <v>346</v>
      </c>
      <c r="E46" s="87"/>
      <c r="F46" s="87"/>
      <c r="G46" s="87"/>
      <c r="H46" s="582"/>
      <c r="I46" s="582"/>
      <c r="J46" s="583"/>
      <c r="K46" s="59"/>
      <c r="L46"/>
    </row>
    <row r="47" spans="1:12" ht="26.25" customHeight="1" x14ac:dyDescent="0.25">
      <c r="A47" s="75"/>
      <c r="B47" s="576"/>
      <c r="C47" s="182"/>
      <c r="D47" s="103" t="s">
        <v>347</v>
      </c>
      <c r="E47" s="87"/>
      <c r="F47" s="87"/>
      <c r="G47" s="87"/>
      <c r="H47" s="582"/>
      <c r="I47" s="582"/>
      <c r="J47" s="583"/>
      <c r="K47" s="59"/>
      <c r="L47"/>
    </row>
    <row r="48" spans="1:12" ht="24.75" customHeight="1" x14ac:dyDescent="0.25">
      <c r="A48" s="75"/>
      <c r="B48" s="570" t="s">
        <v>326</v>
      </c>
      <c r="C48" s="570"/>
      <c r="D48" s="570"/>
      <c r="E48" s="55">
        <f>SUM(E42:E47)/6*60%</f>
        <v>0</v>
      </c>
      <c r="F48" s="55">
        <f>SUM(F42:F47)/6*20%</f>
        <v>0</v>
      </c>
      <c r="G48" s="55">
        <f>SUM(G42:G47)/6*20%</f>
        <v>0</v>
      </c>
      <c r="H48" s="582"/>
      <c r="I48" s="582"/>
      <c r="J48" s="583"/>
      <c r="K48" s="59"/>
      <c r="L48"/>
    </row>
    <row r="49" spans="1:13" ht="22.5" hidden="1" x14ac:dyDescent="0.25">
      <c r="A49" s="75"/>
      <c r="B49" s="576">
        <v>6</v>
      </c>
      <c r="C49" s="576" t="s">
        <v>348</v>
      </c>
      <c r="D49" s="183" t="s">
        <v>349</v>
      </c>
      <c r="E49" s="98"/>
      <c r="F49" s="98"/>
      <c r="G49" s="98"/>
      <c r="H49" s="582"/>
      <c r="I49" s="582">
        <f>SUM(E54:G54)</f>
        <v>0</v>
      </c>
      <c r="J49" s="581"/>
      <c r="K49" s="59"/>
      <c r="L49"/>
    </row>
    <row r="50" spans="1:13" ht="33.75" hidden="1" x14ac:dyDescent="0.25">
      <c r="A50" s="75"/>
      <c r="B50" s="576"/>
      <c r="C50" s="576"/>
      <c r="D50" s="183" t="s">
        <v>350</v>
      </c>
      <c r="E50" s="98"/>
      <c r="F50" s="98"/>
      <c r="G50" s="98"/>
      <c r="H50" s="582"/>
      <c r="I50" s="582"/>
      <c r="J50" s="581"/>
      <c r="K50" s="59"/>
      <c r="L50"/>
    </row>
    <row r="51" spans="1:13" ht="33.75" hidden="1" x14ac:dyDescent="0.25">
      <c r="A51" s="75"/>
      <c r="B51" s="576"/>
      <c r="C51" s="576"/>
      <c r="D51" s="183" t="s">
        <v>351</v>
      </c>
      <c r="E51" s="98"/>
      <c r="F51" s="98"/>
      <c r="G51" s="98"/>
      <c r="H51" s="582"/>
      <c r="I51" s="582"/>
      <c r="J51" s="581"/>
      <c r="K51" s="59"/>
      <c r="L51"/>
    </row>
    <row r="52" spans="1:13" ht="33.75" hidden="1" x14ac:dyDescent="0.25">
      <c r="A52" s="75"/>
      <c r="B52" s="576"/>
      <c r="C52" s="576"/>
      <c r="D52" s="183" t="s">
        <v>352</v>
      </c>
      <c r="E52" s="98"/>
      <c r="F52" s="98"/>
      <c r="G52" s="98"/>
      <c r="H52" s="582"/>
      <c r="I52" s="582"/>
      <c r="J52" s="581"/>
      <c r="K52" s="59"/>
      <c r="L52"/>
    </row>
    <row r="53" spans="1:13" ht="45" hidden="1" x14ac:dyDescent="0.25">
      <c r="A53" s="75"/>
      <c r="B53" s="576"/>
      <c r="C53" s="576"/>
      <c r="D53" s="183" t="s">
        <v>353</v>
      </c>
      <c r="E53" s="98"/>
      <c r="F53" s="98"/>
      <c r="G53" s="98"/>
      <c r="H53" s="582"/>
      <c r="I53" s="582"/>
      <c r="J53" s="581"/>
      <c r="K53" s="59"/>
      <c r="L53"/>
    </row>
    <row r="54" spans="1:13" ht="24.75" hidden="1" customHeight="1" x14ac:dyDescent="0.25">
      <c r="A54" s="75"/>
      <c r="B54" s="570" t="s">
        <v>326</v>
      </c>
      <c r="C54" s="570"/>
      <c r="D54" s="570"/>
      <c r="E54" s="55">
        <f>SUM(E49:E53)/5*60%</f>
        <v>0</v>
      </c>
      <c r="F54" s="55">
        <f>SUM(F49:F53)/5*20%</f>
        <v>0</v>
      </c>
      <c r="G54" s="55">
        <f>SUM(G49:G53)/5*20%</f>
        <v>0</v>
      </c>
      <c r="H54" s="582"/>
      <c r="I54" s="582"/>
      <c r="J54" s="581"/>
      <c r="K54" s="59"/>
      <c r="L54"/>
    </row>
    <row r="55" spans="1:13" ht="24.75" hidden="1" customHeight="1" x14ac:dyDescent="0.25">
      <c r="A55" s="75"/>
      <c r="B55" s="576">
        <v>7</v>
      </c>
      <c r="C55" s="576" t="s">
        <v>354</v>
      </c>
      <c r="D55" s="184" t="s">
        <v>355</v>
      </c>
      <c r="E55" s="98"/>
      <c r="F55" s="98"/>
      <c r="G55" s="98"/>
      <c r="H55" s="577"/>
      <c r="I55" s="578">
        <f>SUM(E59:G59)</f>
        <v>0</v>
      </c>
      <c r="J55" s="581"/>
      <c r="K55" s="59"/>
      <c r="L55"/>
    </row>
    <row r="56" spans="1:13" ht="47.25" hidden="1" customHeight="1" x14ac:dyDescent="0.25">
      <c r="A56" s="75"/>
      <c r="B56" s="576"/>
      <c r="C56" s="576"/>
      <c r="D56" s="184" t="s">
        <v>356</v>
      </c>
      <c r="E56" s="98"/>
      <c r="F56" s="98"/>
      <c r="G56" s="98"/>
      <c r="H56" s="577"/>
      <c r="I56" s="579"/>
      <c r="J56" s="581"/>
      <c r="K56" s="59"/>
      <c r="L56"/>
    </row>
    <row r="57" spans="1:13" ht="14.25" hidden="1" customHeight="1" x14ac:dyDescent="0.25">
      <c r="A57" s="75"/>
      <c r="B57" s="576"/>
      <c r="C57" s="576"/>
      <c r="D57" s="184" t="s">
        <v>357</v>
      </c>
      <c r="E57" s="98"/>
      <c r="F57" s="98"/>
      <c r="G57" s="98"/>
      <c r="H57" s="577"/>
      <c r="I57" s="579"/>
      <c r="J57" s="581"/>
      <c r="K57" s="59"/>
      <c r="L57"/>
    </row>
    <row r="58" spans="1:13" ht="27" hidden="1" customHeight="1" x14ac:dyDescent="0.25">
      <c r="A58" s="75"/>
      <c r="B58" s="576"/>
      <c r="C58" s="576"/>
      <c r="D58" s="184" t="s">
        <v>358</v>
      </c>
      <c r="E58" s="98"/>
      <c r="F58" s="98"/>
      <c r="G58" s="98"/>
      <c r="H58" s="577"/>
      <c r="I58" s="579"/>
      <c r="J58" s="581"/>
      <c r="K58" s="59"/>
      <c r="L58"/>
    </row>
    <row r="59" spans="1:13" ht="24.75" hidden="1" customHeight="1" x14ac:dyDescent="0.25">
      <c r="A59" s="75"/>
      <c r="B59" s="570" t="s">
        <v>326</v>
      </c>
      <c r="C59" s="570"/>
      <c r="D59" s="570"/>
      <c r="E59" s="55">
        <f>SUM(E55:E58)/4*60%</f>
        <v>0</v>
      </c>
      <c r="F59" s="55">
        <f>SUM(F55:F58)/4*20%</f>
        <v>0</v>
      </c>
      <c r="G59" s="55">
        <f>SUM(G55:G58)/4*20%</f>
        <v>0</v>
      </c>
      <c r="H59" s="577"/>
      <c r="I59" s="580"/>
      <c r="J59" s="581"/>
      <c r="K59" s="59"/>
      <c r="L59"/>
    </row>
    <row r="60" spans="1:13" x14ac:dyDescent="0.25">
      <c r="A60" s="75"/>
      <c r="B60" s="570" t="s">
        <v>359</v>
      </c>
      <c r="C60" s="570"/>
      <c r="D60" s="570"/>
      <c r="E60" s="96">
        <f>AVERAGE(E59,E54,E48,E41,E34,E27,E21)</f>
        <v>0</v>
      </c>
      <c r="F60" s="96">
        <f t="shared" ref="F60:G60" si="0">AVERAGE(F59,F54,F48,F41,F34,F27,F21)</f>
        <v>0</v>
      </c>
      <c r="G60" s="96">
        <f t="shared" si="0"/>
        <v>0</v>
      </c>
      <c r="H60" s="59"/>
      <c r="I60" s="59"/>
      <c r="J60" s="59"/>
      <c r="K60" s="59"/>
      <c r="L60"/>
    </row>
    <row r="61" spans="1:13" ht="15.75" thickBot="1" x14ac:dyDescent="0.3">
      <c r="A61" s="75"/>
      <c r="B61" s="59"/>
      <c r="C61" s="59"/>
      <c r="D61" s="60"/>
      <c r="E61" s="95"/>
      <c r="F61" s="95"/>
      <c r="G61" s="95"/>
      <c r="H61" s="59"/>
      <c r="I61" s="59"/>
      <c r="J61" s="59"/>
      <c r="K61" s="59"/>
      <c r="L61"/>
    </row>
    <row r="62" spans="1:13" ht="18.75" customHeight="1" thickBot="1" x14ac:dyDescent="0.3">
      <c r="A62" s="75"/>
      <c r="B62" s="61"/>
      <c r="C62" s="61"/>
      <c r="D62" s="61"/>
      <c r="E62" s="571" t="s">
        <v>360</v>
      </c>
      <c r="F62" s="572"/>
      <c r="G62" s="573"/>
      <c r="H62" s="105"/>
      <c r="I62" s="106">
        <f>AVERAGE(I14:I48)</f>
        <v>0</v>
      </c>
      <c r="J62" s="107">
        <f>I62/5*100%</f>
        <v>0</v>
      </c>
      <c r="K62" s="59"/>
      <c r="L62"/>
    </row>
    <row r="63" spans="1:13" ht="36" customHeight="1" x14ac:dyDescent="0.25">
      <c r="A63" s="75"/>
      <c r="B63" s="75"/>
      <c r="C63" s="75"/>
      <c r="D63" s="86"/>
      <c r="E63" s="75"/>
      <c r="F63" s="75"/>
      <c r="G63" s="75"/>
      <c r="H63" s="75"/>
      <c r="I63" s="75"/>
      <c r="J63" s="75"/>
      <c r="K63" s="59"/>
      <c r="L63"/>
      <c r="M63"/>
    </row>
    <row r="64" spans="1:13" ht="30" customHeight="1" x14ac:dyDescent="0.25">
      <c r="A64" s="75"/>
      <c r="B64" s="75"/>
      <c r="C64" s="100" t="s">
        <v>273</v>
      </c>
      <c r="D64" s="630">
        <f>+'ANEXO 1'!D30:E30</f>
        <v>44956</v>
      </c>
      <c r="E64" s="75"/>
      <c r="F64" s="75"/>
      <c r="G64" s="75"/>
      <c r="H64" s="574"/>
      <c r="I64" s="574"/>
      <c r="J64" s="190"/>
      <c r="K64" s="59"/>
      <c r="L64"/>
      <c r="M64"/>
    </row>
    <row r="65" spans="1:13" ht="30" customHeight="1" x14ac:dyDescent="0.25">
      <c r="A65" s="75"/>
      <c r="B65" s="75"/>
      <c r="C65" s="100" t="s">
        <v>275</v>
      </c>
      <c r="D65" s="185" t="str">
        <f>+'ANEXO 1'!D31:E31</f>
        <v>01/01/2022 al  31/12/2022</v>
      </c>
      <c r="E65" s="75"/>
      <c r="F65" s="75"/>
      <c r="G65" s="75"/>
      <c r="H65" s="575" t="s">
        <v>278</v>
      </c>
      <c r="I65" s="575"/>
      <c r="J65" s="189" t="s">
        <v>361</v>
      </c>
      <c r="K65" s="59"/>
      <c r="L65"/>
      <c r="M65"/>
    </row>
    <row r="66" spans="1:13" x14ac:dyDescent="0.25">
      <c r="A66" s="75"/>
      <c r="B66" s="75"/>
      <c r="C66" s="75"/>
      <c r="D66" s="75"/>
      <c r="E66" s="75"/>
      <c r="F66" s="75"/>
      <c r="G66" s="75"/>
      <c r="H66" s="75"/>
      <c r="I66" s="75"/>
      <c r="J66" s="75"/>
      <c r="K66" s="75"/>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60">
    <mergeCell ref="C8:I8"/>
    <mergeCell ref="B2:J2"/>
    <mergeCell ref="B4:J4"/>
    <mergeCell ref="C5:I5"/>
    <mergeCell ref="C6:I6"/>
    <mergeCell ref="C7:I7"/>
    <mergeCell ref="C9:I9"/>
    <mergeCell ref="B11:C13"/>
    <mergeCell ref="D11:D13"/>
    <mergeCell ref="E11:G11"/>
    <mergeCell ref="H11:H13"/>
    <mergeCell ref="I11:I13"/>
    <mergeCell ref="J11:J13"/>
    <mergeCell ref="B14:B20"/>
    <mergeCell ref="H14:H21"/>
    <mergeCell ref="I14:I21"/>
    <mergeCell ref="J14:J21"/>
    <mergeCell ref="B21:D21"/>
    <mergeCell ref="C14:C18"/>
    <mergeCell ref="C19:C20"/>
    <mergeCell ref="B22:B26"/>
    <mergeCell ref="C22:C26"/>
    <mergeCell ref="H22:H27"/>
    <mergeCell ref="I22:I27"/>
    <mergeCell ref="J22:J27"/>
    <mergeCell ref="B27:D27"/>
    <mergeCell ref="B28:B33"/>
    <mergeCell ref="H28:H34"/>
    <mergeCell ref="I28:I34"/>
    <mergeCell ref="J28:J34"/>
    <mergeCell ref="B34:D34"/>
    <mergeCell ref="C28:C32"/>
    <mergeCell ref="B35:B40"/>
    <mergeCell ref="H35:H41"/>
    <mergeCell ref="I35:I41"/>
    <mergeCell ref="J35:J41"/>
    <mergeCell ref="B41:D41"/>
    <mergeCell ref="C35:C39"/>
    <mergeCell ref="B42:B47"/>
    <mergeCell ref="H42:H48"/>
    <mergeCell ref="I42:I48"/>
    <mergeCell ref="J42:J48"/>
    <mergeCell ref="B48:D48"/>
    <mergeCell ref="C42:C46"/>
    <mergeCell ref="J55:J59"/>
    <mergeCell ref="B59:D59"/>
    <mergeCell ref="B49:B53"/>
    <mergeCell ref="C49:C53"/>
    <mergeCell ref="H49:H54"/>
    <mergeCell ref="I49:I54"/>
    <mergeCell ref="J49:J54"/>
    <mergeCell ref="B54:D54"/>
    <mergeCell ref="B60:D60"/>
    <mergeCell ref="E62:G62"/>
    <mergeCell ref="H64:I64"/>
    <mergeCell ref="H65:I65"/>
    <mergeCell ref="B55:B58"/>
    <mergeCell ref="C55:C58"/>
    <mergeCell ref="H55:H59"/>
    <mergeCell ref="I55:I59"/>
  </mergeCells>
  <dataValidations count="2">
    <dataValidation type="whole" allowBlank="1" showInputMessage="1" showErrorMessage="1" sqref="E55:G58" xr:uid="{00000000-0002-0000-0C00-000000000000}">
      <formula1>1</formula1>
      <formula2>5</formula2>
    </dataValidation>
    <dataValidation type="whole" showInputMessage="1" showErrorMessage="1" sqref="E14:G20 E22:G26 E28:G33 E35:G40 E42:G47 E49:G53" xr:uid="{00000000-0002-0000-0C00-000001000000}">
      <formula1>1</formula1>
      <formula2>5</formula2>
    </dataValidation>
  </dataValidations>
  <printOptions horizontalCentered="1" verticalCentered="1"/>
  <pageMargins left="0.23622047244094491" right="0.23622047244094491" top="0.74803149606299213" bottom="0.74803149606299213" header="0.31496062992125984" footer="0.31496062992125984"/>
  <pageSetup paperSize="171" scale="55"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36"/>
  <sheetViews>
    <sheetView tabSelected="1" view="pageBreakPreview" topLeftCell="C19" zoomScale="95" zoomScaleNormal="95" zoomScaleSheetLayoutView="70" zoomScalePageLayoutView="95" workbookViewId="0">
      <selection activeCell="F29" sqref="F29:G29"/>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435" t="s">
        <v>362</v>
      </c>
      <c r="C4" s="436"/>
      <c r="D4" s="436"/>
      <c r="E4" s="436"/>
      <c r="F4" s="436"/>
      <c r="G4" s="436"/>
      <c r="H4" s="437"/>
      <c r="I4" s="108"/>
    </row>
    <row r="5" spans="1:9" x14ac:dyDescent="0.25">
      <c r="A5" s="108"/>
      <c r="B5" s="110"/>
      <c r="C5" s="111"/>
      <c r="D5" s="615"/>
      <c r="E5" s="615"/>
      <c r="F5" s="615"/>
      <c r="G5" s="615"/>
      <c r="H5" s="112"/>
      <c r="I5" s="108"/>
    </row>
    <row r="6" spans="1:9" x14ac:dyDescent="0.25">
      <c r="A6" s="108"/>
      <c r="B6" s="110"/>
      <c r="C6" s="111" t="s">
        <v>363</v>
      </c>
      <c r="D6" s="616" t="s">
        <v>274</v>
      </c>
      <c r="E6" s="616"/>
      <c r="F6" s="616"/>
      <c r="G6" s="616"/>
      <c r="H6" s="112"/>
      <c r="I6" s="108"/>
    </row>
    <row r="7" spans="1:9" x14ac:dyDescent="0.25">
      <c r="A7" s="108"/>
      <c r="B7" s="110"/>
      <c r="C7" s="111" t="s">
        <v>364</v>
      </c>
      <c r="D7" s="617" t="s">
        <v>365</v>
      </c>
      <c r="E7" s="617"/>
      <c r="F7" s="617"/>
      <c r="G7" s="617"/>
      <c r="H7" s="112"/>
      <c r="I7" s="108"/>
    </row>
    <row r="8" spans="1:9" x14ac:dyDescent="0.25">
      <c r="A8" s="108"/>
      <c r="B8" s="110"/>
      <c r="C8" s="111" t="s">
        <v>366</v>
      </c>
      <c r="D8" s="618">
        <v>44630</v>
      </c>
      <c r="E8" s="617"/>
      <c r="F8" s="617"/>
      <c r="G8" s="617"/>
      <c r="H8" s="112"/>
      <c r="I8" s="108"/>
    </row>
    <row r="9" spans="1:9" ht="18.75" thickBot="1" x14ac:dyDescent="0.3">
      <c r="A9" s="108"/>
      <c r="B9" s="110"/>
      <c r="C9" s="111"/>
      <c r="D9" s="113"/>
      <c r="E9" s="113"/>
      <c r="F9" s="113"/>
      <c r="G9" s="113"/>
      <c r="H9" s="112"/>
      <c r="I9" s="108"/>
    </row>
    <row r="10" spans="1:9" ht="36" customHeight="1" thickBot="1" x14ac:dyDescent="0.3">
      <c r="A10" s="108"/>
      <c r="B10" s="612" t="s">
        <v>367</v>
      </c>
      <c r="C10" s="613"/>
      <c r="D10" s="613"/>
      <c r="E10" s="613"/>
      <c r="F10" s="613"/>
      <c r="G10" s="613"/>
      <c r="H10" s="614"/>
      <c r="I10" s="108"/>
    </row>
    <row r="11" spans="1:9" x14ac:dyDescent="0.25">
      <c r="A11" s="108"/>
      <c r="B11" s="110"/>
      <c r="C11" s="108"/>
      <c r="D11" s="108"/>
      <c r="E11" s="108"/>
      <c r="F11" s="108"/>
      <c r="G11" s="108"/>
      <c r="H11" s="112"/>
      <c r="I11" s="108"/>
    </row>
    <row r="12" spans="1:9" x14ac:dyDescent="0.25">
      <c r="A12" s="108"/>
      <c r="B12" s="110"/>
      <c r="C12" s="620" t="s">
        <v>368</v>
      </c>
      <c r="D12" s="114"/>
      <c r="E12" s="114"/>
      <c r="F12" s="615"/>
      <c r="G12" s="615"/>
      <c r="H12" s="621"/>
      <c r="I12" s="108"/>
    </row>
    <row r="13" spans="1:9" x14ac:dyDescent="0.25">
      <c r="A13" s="108"/>
      <c r="B13" s="110"/>
      <c r="C13" s="620"/>
      <c r="D13" s="115">
        <f>'ANEXO 1'!P21</f>
        <v>1</v>
      </c>
      <c r="E13" s="622">
        <f>(D13*D14)/100%</f>
        <v>0.8</v>
      </c>
      <c r="F13" s="615"/>
      <c r="G13" s="615"/>
      <c r="H13" s="621"/>
      <c r="I13" s="108"/>
    </row>
    <row r="14" spans="1:9" ht="40.5" customHeight="1" x14ac:dyDescent="0.25">
      <c r="A14" s="108"/>
      <c r="B14" s="110"/>
      <c r="C14" s="116" t="s">
        <v>369</v>
      </c>
      <c r="D14" s="117">
        <v>0.8</v>
      </c>
      <c r="E14" s="622"/>
      <c r="F14" s="615"/>
      <c r="G14" s="615"/>
      <c r="H14" s="621"/>
      <c r="I14" s="108"/>
    </row>
    <row r="15" spans="1:9" x14ac:dyDescent="0.25">
      <c r="A15" s="108"/>
      <c r="B15" s="110"/>
      <c r="C15" s="114" t="s">
        <v>370</v>
      </c>
      <c r="D15" s="118">
        <f>'ANEXO 2'!I62</f>
        <v>0</v>
      </c>
      <c r="E15" s="622">
        <f>(D15*D16)/5</f>
        <v>0</v>
      </c>
      <c r="F15" s="615"/>
      <c r="G15" s="615"/>
      <c r="H15" s="621"/>
      <c r="I15" s="108"/>
    </row>
    <row r="16" spans="1:9" x14ac:dyDescent="0.25">
      <c r="A16" s="108"/>
      <c r="B16" s="110"/>
      <c r="C16" s="114" t="s">
        <v>371</v>
      </c>
      <c r="D16" s="117">
        <v>0.2</v>
      </c>
      <c r="E16" s="622"/>
      <c r="F16" s="615"/>
      <c r="G16" s="615"/>
      <c r="H16" s="621"/>
      <c r="I16" s="108"/>
    </row>
    <row r="17" spans="1:9" x14ac:dyDescent="0.25">
      <c r="A17" s="108"/>
      <c r="B17" s="110"/>
      <c r="C17" s="114"/>
      <c r="D17" s="117"/>
      <c r="E17" s="119"/>
      <c r="F17" s="615"/>
      <c r="G17" s="615"/>
      <c r="H17" s="621"/>
      <c r="I17" s="108"/>
    </row>
    <row r="18" spans="1:9" x14ac:dyDescent="0.25">
      <c r="A18" s="108"/>
      <c r="B18" s="110"/>
      <c r="C18" s="114" t="s">
        <v>372</v>
      </c>
      <c r="D18" s="117"/>
      <c r="E18" s="115">
        <f>SUM(E13:E16)</f>
        <v>0.8</v>
      </c>
      <c r="F18" s="615"/>
      <c r="G18" s="615"/>
      <c r="H18" s="621"/>
      <c r="I18" s="108"/>
    </row>
    <row r="19" spans="1:9" x14ac:dyDescent="0.25">
      <c r="A19" s="108"/>
      <c r="B19" s="110"/>
      <c r="C19" s="108"/>
      <c r="D19" s="108"/>
      <c r="E19" s="108"/>
      <c r="F19" s="108"/>
      <c r="G19" s="615"/>
      <c r="H19" s="621"/>
      <c r="I19" s="108"/>
    </row>
    <row r="20" spans="1:9" x14ac:dyDescent="0.25">
      <c r="A20" s="108"/>
      <c r="B20" s="110"/>
      <c r="C20" s="623" t="s">
        <v>373</v>
      </c>
      <c r="D20" s="625">
        <v>0.05</v>
      </c>
      <c r="E20" s="627">
        <f>'ANEXO 1'!P23</f>
        <v>4.6000000000000006E-2</v>
      </c>
      <c r="F20" s="108"/>
      <c r="G20" s="615"/>
      <c r="H20" s="621"/>
      <c r="I20" s="108"/>
    </row>
    <row r="21" spans="1:9" x14ac:dyDescent="0.25">
      <c r="A21" s="108"/>
      <c r="B21" s="110"/>
      <c r="C21" s="624"/>
      <c r="D21" s="626"/>
      <c r="E21" s="628"/>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374</v>
      </c>
      <c r="E23" s="123">
        <f>E18+E20</f>
        <v>0.84600000000000009</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629" t="str">
        <f>+'ANEXO 1'!G30</f>
        <v>Francisco Augusto Giuseppe Rossi Buenaventura</v>
      </c>
      <c r="D28" s="629"/>
      <c r="E28" s="108"/>
      <c r="F28" s="629" t="str">
        <f>+'ANEXO 1'!L30</f>
        <v xml:space="preserve">Lucia Ayala Rodriguez </v>
      </c>
      <c r="G28" s="629"/>
      <c r="H28" s="112"/>
      <c r="I28" s="108"/>
    </row>
    <row r="29" spans="1:9" x14ac:dyDescent="0.25">
      <c r="A29" s="108"/>
      <c r="B29" s="110"/>
      <c r="C29" s="619" t="s">
        <v>277</v>
      </c>
      <c r="D29" s="619"/>
      <c r="E29" s="108"/>
      <c r="F29" s="619" t="s">
        <v>375</v>
      </c>
      <c r="G29" s="619"/>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376</v>
      </c>
      <c r="E33" s="273">
        <f>+'ANEXO 2'!D64</f>
        <v>44956</v>
      </c>
      <c r="F33" s="108"/>
      <c r="G33" s="108"/>
      <c r="H33" s="112"/>
      <c r="I33" s="108"/>
    </row>
    <row r="34" spans="1:9" x14ac:dyDescent="0.25">
      <c r="A34" s="108"/>
      <c r="B34" s="110"/>
      <c r="C34" s="108"/>
      <c r="D34" s="124" t="s">
        <v>377</v>
      </c>
      <c r="E34" s="188" t="str">
        <f>+'ANEXO 2'!D65</f>
        <v>01/01/2022 al  31/12/2022</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C29:D29"/>
    <mergeCell ref="F29:G29"/>
    <mergeCell ref="C12:C13"/>
    <mergeCell ref="F12:H18"/>
    <mergeCell ref="E13:E14"/>
    <mergeCell ref="E15:E16"/>
    <mergeCell ref="G19:H20"/>
    <mergeCell ref="C20:C21"/>
    <mergeCell ref="D20:D21"/>
    <mergeCell ref="E20:E21"/>
    <mergeCell ref="C28:D28"/>
    <mergeCell ref="F28:G28"/>
    <mergeCell ref="B10:H10"/>
    <mergeCell ref="B4:H4"/>
    <mergeCell ref="D5:G5"/>
    <mergeCell ref="D6:G6"/>
    <mergeCell ref="D7:G7"/>
    <mergeCell ref="D8:G8"/>
  </mergeCells>
  <printOptions horizontalCentered="1" verticalCentered="1"/>
  <pageMargins left="0.25" right="0.25" top="0.75" bottom="0.75" header="0.3" footer="0.3"/>
  <pageSetup paperSize="171" scale="1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25" zoomScale="86" zoomScaleNormal="86" zoomScalePageLayoutView="86" workbookViewId="0">
      <selection activeCell="L15" sqref="L15"/>
    </sheetView>
  </sheetViews>
  <sheetFormatPr baseColWidth="10" defaultColWidth="10.85546875" defaultRowHeight="15.75" x14ac:dyDescent="0.25"/>
  <cols>
    <col min="1" max="1" width="3.28515625" style="56" customWidth="1"/>
    <col min="2" max="2" width="38.28515625" style="56" customWidth="1"/>
    <col min="3" max="3" width="15.28515625" style="56" bestFit="1" customWidth="1"/>
    <col min="4" max="8" width="10.85546875" style="56"/>
    <col min="9" max="9" width="17.85546875" style="56" customWidth="1"/>
    <col min="10" max="10" width="3.140625" style="56" customWidth="1"/>
    <col min="11" max="11" width="3.42578125" style="56" customWidth="1"/>
    <col min="12" max="12" width="38.42578125" style="56" customWidth="1"/>
    <col min="13" max="13" width="15.28515625" style="56" customWidth="1"/>
    <col min="14" max="16" width="10.85546875" style="56"/>
    <col min="17" max="17" width="11.42578125" style="56" customWidth="1"/>
    <col min="18" max="19" width="10.85546875" style="56"/>
    <col min="20" max="20" width="17.85546875" style="56" customWidth="1"/>
    <col min="21" max="21" width="3.28515625" style="56" customWidth="1"/>
    <col min="22" max="16384" width="10.85546875" style="56"/>
  </cols>
  <sheetData>
    <row r="1" spans="1:12" x14ac:dyDescent="0.25">
      <c r="A1" s="57"/>
      <c r="B1" s="57"/>
      <c r="C1" s="57"/>
      <c r="D1" s="57"/>
      <c r="E1" s="57"/>
      <c r="F1" s="57"/>
      <c r="G1" s="57"/>
      <c r="H1" s="57"/>
      <c r="I1" s="57"/>
      <c r="J1" s="57"/>
      <c r="K1" s="57"/>
    </row>
    <row r="2" spans="1:12" x14ac:dyDescent="0.25">
      <c r="A2" s="57"/>
      <c r="B2" s="57"/>
      <c r="C2" s="57"/>
      <c r="D2" s="57"/>
      <c r="E2" s="57"/>
      <c r="F2" s="57"/>
      <c r="G2" s="57"/>
      <c r="H2" s="57"/>
      <c r="I2" s="57"/>
      <c r="J2" s="57"/>
      <c r="K2" s="57"/>
    </row>
    <row r="3" spans="1:12" x14ac:dyDescent="0.25">
      <c r="A3" s="57"/>
      <c r="B3" s="57"/>
      <c r="C3" s="57"/>
      <c r="D3" s="57"/>
      <c r="E3" s="57"/>
      <c r="F3" s="57"/>
      <c r="G3" s="57"/>
      <c r="H3" s="57"/>
      <c r="I3" s="57"/>
      <c r="J3" s="57"/>
      <c r="K3" s="57"/>
    </row>
    <row r="4" spans="1:12" ht="24.75" customHeight="1" x14ac:dyDescent="0.25">
      <c r="A4" s="168"/>
      <c r="B4" s="57"/>
      <c r="C4" s="57"/>
      <c r="D4" s="57"/>
      <c r="E4" s="57"/>
      <c r="F4" s="57"/>
      <c r="G4" s="57"/>
      <c r="H4" s="57"/>
      <c r="I4" s="57"/>
      <c r="J4" s="57"/>
      <c r="K4" s="57"/>
      <c r="L4" s="62"/>
    </row>
    <row r="5" spans="1:12" x14ac:dyDescent="0.25">
      <c r="A5" s="62"/>
      <c r="B5" s="57"/>
      <c r="C5" s="57"/>
      <c r="D5" s="57"/>
      <c r="E5" s="57"/>
      <c r="F5" s="57"/>
      <c r="G5" s="57"/>
      <c r="H5" s="57"/>
      <c r="I5" s="57"/>
      <c r="J5" s="57"/>
      <c r="K5" s="57"/>
      <c r="L5" s="62"/>
    </row>
    <row r="6" spans="1:12" ht="12" customHeight="1" x14ac:dyDescent="0.25">
      <c r="A6" s="62"/>
      <c r="B6" s="169"/>
      <c r="C6" s="169"/>
      <c r="D6" s="169"/>
      <c r="E6" s="169"/>
      <c r="F6" s="169"/>
      <c r="G6" s="169"/>
      <c r="H6" s="169"/>
      <c r="I6" s="169"/>
      <c r="J6" s="169"/>
      <c r="K6" s="63"/>
      <c r="L6" s="62"/>
    </row>
    <row r="7" spans="1:12" ht="24" customHeight="1" x14ac:dyDescent="0.4">
      <c r="A7" s="62"/>
      <c r="B7" s="310" t="s">
        <v>51</v>
      </c>
      <c r="C7" s="310"/>
      <c r="D7" s="310"/>
      <c r="E7" s="310"/>
      <c r="F7" s="310"/>
      <c r="G7" s="310"/>
      <c r="H7" s="310"/>
      <c r="I7" s="310"/>
      <c r="J7" s="170"/>
      <c r="K7" s="63"/>
      <c r="L7" s="62"/>
    </row>
    <row r="8" spans="1:12" ht="12.95" customHeight="1" x14ac:dyDescent="0.25">
      <c r="A8" s="62"/>
      <c r="B8" s="63"/>
      <c r="C8" s="63"/>
      <c r="D8" s="171"/>
      <c r="E8" s="63"/>
      <c r="F8" s="63"/>
      <c r="G8" s="171"/>
      <c r="H8" s="63"/>
      <c r="I8" s="63"/>
      <c r="J8" s="63"/>
      <c r="K8" s="63"/>
      <c r="L8" s="62"/>
    </row>
    <row r="9" spans="1:12" ht="26.25" customHeight="1" x14ac:dyDescent="0.25">
      <c r="A9" s="62"/>
      <c r="B9" s="311" t="s">
        <v>52</v>
      </c>
      <c r="C9" s="311"/>
      <c r="D9" s="311"/>
      <c r="E9" s="311"/>
      <c r="F9" s="311"/>
      <c r="G9" s="311"/>
      <c r="H9" s="311"/>
      <c r="I9" s="311"/>
      <c r="J9" s="172"/>
      <c r="K9" s="63"/>
      <c r="L9" s="62"/>
    </row>
    <row r="10" spans="1:12" ht="15.95" customHeight="1" thickBot="1" x14ac:dyDescent="0.3">
      <c r="A10" s="62"/>
      <c r="B10" s="63"/>
      <c r="C10" s="63"/>
      <c r="D10" s="63"/>
      <c r="E10" s="63"/>
      <c r="F10" s="63"/>
      <c r="G10" s="63"/>
      <c r="H10" s="63"/>
      <c r="I10" s="63"/>
      <c r="J10" s="63"/>
      <c r="K10" s="63"/>
      <c r="L10" s="62"/>
    </row>
    <row r="11" spans="1:12" ht="66.75" customHeight="1" thickBot="1" x14ac:dyDescent="0.3">
      <c r="A11" s="62"/>
      <c r="B11" s="64" t="s">
        <v>53</v>
      </c>
      <c r="C11" s="307" t="s">
        <v>54</v>
      </c>
      <c r="D11" s="308"/>
      <c r="E11" s="308"/>
      <c r="F11" s="308"/>
      <c r="G11" s="308"/>
      <c r="H11" s="308"/>
      <c r="I11" s="309"/>
      <c r="J11" s="173"/>
      <c r="K11" s="63"/>
      <c r="L11" s="62"/>
    </row>
    <row r="12" spans="1:12" ht="24.75" customHeight="1" x14ac:dyDescent="0.25">
      <c r="A12" s="62"/>
      <c r="B12" s="312" t="s">
        <v>55</v>
      </c>
      <c r="C12" s="315" t="s">
        <v>56</v>
      </c>
      <c r="D12" s="316"/>
      <c r="E12" s="316"/>
      <c r="F12" s="316"/>
      <c r="G12" s="316"/>
      <c r="H12" s="316"/>
      <c r="I12" s="317"/>
      <c r="J12" s="173"/>
      <c r="K12" s="63"/>
      <c r="L12" s="62"/>
    </row>
    <row r="13" spans="1:12" ht="51.75" customHeight="1" x14ac:dyDescent="0.25">
      <c r="A13" s="62"/>
      <c r="B13" s="313"/>
      <c r="C13" s="318"/>
      <c r="D13" s="319"/>
      <c r="E13" s="319"/>
      <c r="F13" s="319"/>
      <c r="G13" s="319"/>
      <c r="H13" s="319"/>
      <c r="I13" s="320"/>
      <c r="J13" s="173"/>
      <c r="K13" s="63"/>
      <c r="L13" s="62"/>
    </row>
    <row r="14" spans="1:12" ht="42" customHeight="1" thickBot="1" x14ac:dyDescent="0.3">
      <c r="A14" s="62"/>
      <c r="B14" s="314"/>
      <c r="C14" s="321"/>
      <c r="D14" s="322"/>
      <c r="E14" s="322"/>
      <c r="F14" s="322"/>
      <c r="G14" s="322"/>
      <c r="H14" s="322"/>
      <c r="I14" s="323"/>
      <c r="J14" s="173"/>
      <c r="K14" s="63"/>
      <c r="L14" s="62"/>
    </row>
    <row r="15" spans="1:12" ht="90" customHeight="1" thickBot="1" x14ac:dyDescent="0.3">
      <c r="A15" s="62"/>
      <c r="B15" s="174" t="s">
        <v>57</v>
      </c>
      <c r="C15" s="307" t="s">
        <v>58</v>
      </c>
      <c r="D15" s="308"/>
      <c r="E15" s="308"/>
      <c r="F15" s="308"/>
      <c r="G15" s="308"/>
      <c r="H15" s="308"/>
      <c r="I15" s="309"/>
      <c r="J15" s="173"/>
      <c r="K15" s="63"/>
      <c r="L15" s="62"/>
    </row>
    <row r="16" spans="1:12" ht="48.75" customHeight="1" x14ac:dyDescent="0.25">
      <c r="A16" s="62"/>
      <c r="B16" s="312" t="s">
        <v>59</v>
      </c>
      <c r="C16" s="315" t="s">
        <v>60</v>
      </c>
      <c r="D16" s="316"/>
      <c r="E16" s="316"/>
      <c r="F16" s="316"/>
      <c r="G16" s="316"/>
      <c r="H16" s="316"/>
      <c r="I16" s="317"/>
      <c r="J16" s="173"/>
      <c r="K16" s="63"/>
      <c r="L16" s="62"/>
    </row>
    <row r="17" spans="1:21" ht="38.25" customHeight="1" thickBot="1" x14ac:dyDescent="0.3">
      <c r="A17" s="62"/>
      <c r="B17" s="314"/>
      <c r="C17" s="321"/>
      <c r="D17" s="322"/>
      <c r="E17" s="322"/>
      <c r="F17" s="322"/>
      <c r="G17" s="322"/>
      <c r="H17" s="322"/>
      <c r="I17" s="323"/>
      <c r="J17" s="173"/>
      <c r="K17" s="63"/>
      <c r="L17" s="62"/>
    </row>
    <row r="18" spans="1:21" ht="15" customHeight="1" x14ac:dyDescent="0.25">
      <c r="A18" s="62"/>
      <c r="B18" s="312" t="s">
        <v>61</v>
      </c>
      <c r="C18" s="315" t="s">
        <v>62</v>
      </c>
      <c r="D18" s="316"/>
      <c r="E18" s="316"/>
      <c r="F18" s="316"/>
      <c r="G18" s="316"/>
      <c r="H18" s="316"/>
      <c r="I18" s="317"/>
      <c r="J18" s="173"/>
      <c r="K18" s="63"/>
      <c r="L18" s="62"/>
    </row>
    <row r="19" spans="1:21" ht="59.25" customHeight="1" x14ac:dyDescent="0.25">
      <c r="A19" s="62"/>
      <c r="B19" s="313"/>
      <c r="C19" s="318"/>
      <c r="D19" s="319"/>
      <c r="E19" s="319"/>
      <c r="F19" s="319"/>
      <c r="G19" s="319"/>
      <c r="H19" s="319"/>
      <c r="I19" s="320"/>
      <c r="J19" s="173"/>
      <c r="K19" s="63"/>
      <c r="L19" s="62"/>
    </row>
    <row r="20" spans="1:21" ht="39" customHeight="1" thickBot="1" x14ac:dyDescent="0.3">
      <c r="A20" s="62"/>
      <c r="B20" s="314"/>
      <c r="C20" s="321"/>
      <c r="D20" s="322"/>
      <c r="E20" s="322"/>
      <c r="F20" s="322"/>
      <c r="G20" s="322"/>
      <c r="H20" s="322"/>
      <c r="I20" s="323"/>
      <c r="J20" s="173"/>
      <c r="K20" s="63"/>
      <c r="L20" s="62"/>
    </row>
    <row r="21" spans="1:21" ht="90" customHeight="1" x14ac:dyDescent="0.25">
      <c r="A21" s="62"/>
      <c r="B21" s="312" t="s">
        <v>63</v>
      </c>
      <c r="C21" s="315" t="s">
        <v>64</v>
      </c>
      <c r="D21" s="316"/>
      <c r="E21" s="316"/>
      <c r="F21" s="316"/>
      <c r="G21" s="316"/>
      <c r="H21" s="316"/>
      <c r="I21" s="317"/>
      <c r="J21" s="173"/>
      <c r="K21" s="63"/>
      <c r="L21" s="62"/>
    </row>
    <row r="22" spans="1:21" ht="54.75" customHeight="1" x14ac:dyDescent="0.25">
      <c r="A22" s="62"/>
      <c r="B22" s="313"/>
      <c r="C22" s="318"/>
      <c r="D22" s="319"/>
      <c r="E22" s="319"/>
      <c r="F22" s="319"/>
      <c r="G22" s="319"/>
      <c r="H22" s="319"/>
      <c r="I22" s="320"/>
      <c r="J22" s="173"/>
      <c r="K22" s="63"/>
      <c r="L22" s="62"/>
    </row>
    <row r="23" spans="1:21" ht="65.25" customHeight="1" x14ac:dyDescent="0.25">
      <c r="A23" s="62"/>
      <c r="B23" s="313"/>
      <c r="C23" s="318"/>
      <c r="D23" s="319"/>
      <c r="E23" s="319"/>
      <c r="F23" s="319"/>
      <c r="G23" s="319"/>
      <c r="H23" s="319"/>
      <c r="I23" s="320"/>
      <c r="J23" s="173"/>
      <c r="K23" s="63"/>
      <c r="L23" s="62"/>
    </row>
    <row r="24" spans="1:21" ht="55.5" customHeight="1" thickBot="1" x14ac:dyDescent="0.3">
      <c r="A24" s="62"/>
      <c r="B24" s="313"/>
      <c r="C24" s="318"/>
      <c r="D24" s="319"/>
      <c r="E24" s="319"/>
      <c r="F24" s="319"/>
      <c r="G24" s="319"/>
      <c r="H24" s="319"/>
      <c r="I24" s="320"/>
      <c r="J24" s="173"/>
      <c r="K24" s="63"/>
      <c r="L24" s="62"/>
    </row>
    <row r="25" spans="1:21" ht="57" customHeight="1" thickBot="1" x14ac:dyDescent="0.3">
      <c r="A25" s="62"/>
      <c r="B25" s="175" t="s">
        <v>65</v>
      </c>
      <c r="C25" s="307" t="s">
        <v>66</v>
      </c>
      <c r="D25" s="308"/>
      <c r="E25" s="308"/>
      <c r="F25" s="308"/>
      <c r="G25" s="308"/>
      <c r="H25" s="308"/>
      <c r="I25" s="309"/>
      <c r="J25" s="173"/>
      <c r="K25" s="63"/>
      <c r="L25" s="62"/>
    </row>
    <row r="26" spans="1:21" ht="24.75" customHeight="1" x14ac:dyDescent="0.25">
      <c r="A26" s="62"/>
      <c r="B26" s="312" t="s">
        <v>67</v>
      </c>
      <c r="C26" s="315" t="s">
        <v>68</v>
      </c>
      <c r="D26" s="316"/>
      <c r="E26" s="316"/>
      <c r="F26" s="316"/>
      <c r="G26" s="316"/>
      <c r="H26" s="316"/>
      <c r="I26" s="317"/>
      <c r="J26" s="173"/>
      <c r="K26" s="63"/>
      <c r="L26" s="62"/>
    </row>
    <row r="27" spans="1:21" ht="54.95" customHeight="1" thickBot="1" x14ac:dyDescent="0.3">
      <c r="A27" s="62"/>
      <c r="B27" s="314"/>
      <c r="C27" s="318"/>
      <c r="D27" s="319"/>
      <c r="E27" s="319"/>
      <c r="F27" s="319"/>
      <c r="G27" s="319"/>
      <c r="H27" s="319"/>
      <c r="I27" s="320"/>
      <c r="J27" s="173"/>
      <c r="K27" s="63"/>
      <c r="L27" s="62"/>
    </row>
    <row r="28" spans="1:21" ht="30" customHeight="1" x14ac:dyDescent="0.25">
      <c r="A28" s="62"/>
      <c r="B28" s="312" t="s">
        <v>69</v>
      </c>
      <c r="C28" s="315" t="s">
        <v>70</v>
      </c>
      <c r="D28" s="316"/>
      <c r="E28" s="316"/>
      <c r="F28" s="316"/>
      <c r="G28" s="316"/>
      <c r="H28" s="316"/>
      <c r="I28" s="317"/>
      <c r="J28" s="173"/>
      <c r="K28" s="74"/>
      <c r="L28" s="74"/>
      <c r="M28" s="74"/>
      <c r="N28" s="74"/>
      <c r="O28" s="74"/>
      <c r="P28" s="74"/>
      <c r="Q28" s="74"/>
      <c r="R28" s="74"/>
      <c r="S28" s="74"/>
      <c r="T28" s="74"/>
      <c r="U28" s="62"/>
    </row>
    <row r="29" spans="1:21" ht="42.75" customHeight="1" thickBot="1" x14ac:dyDescent="0.3">
      <c r="A29" s="62"/>
      <c r="B29" s="314"/>
      <c r="C29" s="321"/>
      <c r="D29" s="322"/>
      <c r="E29" s="322"/>
      <c r="F29" s="322"/>
      <c r="G29" s="322"/>
      <c r="H29" s="322"/>
      <c r="I29" s="323"/>
      <c r="J29" s="173"/>
      <c r="K29" s="74"/>
      <c r="L29" s="74"/>
      <c r="M29" s="74"/>
      <c r="N29" s="74"/>
      <c r="O29" s="74"/>
      <c r="P29" s="74"/>
      <c r="Q29" s="74"/>
      <c r="R29" s="74"/>
      <c r="S29" s="74"/>
      <c r="T29" s="74"/>
      <c r="U29" s="62"/>
    </row>
    <row r="30" spans="1:21" ht="59.25" customHeight="1" thickBot="1" x14ac:dyDescent="0.3">
      <c r="A30" s="62"/>
      <c r="B30" s="175" t="s">
        <v>71</v>
      </c>
      <c r="C30" s="307" t="s">
        <v>72</v>
      </c>
      <c r="D30" s="308"/>
      <c r="E30" s="308"/>
      <c r="F30" s="308"/>
      <c r="G30" s="308"/>
      <c r="H30" s="308"/>
      <c r="I30" s="309"/>
      <c r="J30" s="173"/>
      <c r="K30" s="74"/>
      <c r="L30" s="74"/>
      <c r="M30" s="74"/>
      <c r="N30" s="74"/>
      <c r="O30" s="74"/>
      <c r="P30" s="74"/>
      <c r="Q30" s="74"/>
      <c r="R30" s="74"/>
      <c r="S30" s="74"/>
      <c r="T30" s="74"/>
      <c r="U30" s="62"/>
    </row>
    <row r="31" spans="1:21" ht="15" customHeight="1" x14ac:dyDescent="0.25">
      <c r="A31" s="62"/>
      <c r="B31" s="312" t="s">
        <v>73</v>
      </c>
      <c r="C31" s="315" t="s">
        <v>74</v>
      </c>
      <c r="D31" s="316"/>
      <c r="E31" s="316"/>
      <c r="F31" s="316"/>
      <c r="G31" s="316"/>
      <c r="H31" s="316"/>
      <c r="I31" s="317"/>
      <c r="J31" s="173"/>
      <c r="K31" s="74"/>
      <c r="L31" s="74"/>
      <c r="M31" s="74"/>
      <c r="N31" s="74"/>
      <c r="O31" s="74"/>
      <c r="P31" s="74"/>
      <c r="Q31" s="74"/>
      <c r="R31" s="74"/>
      <c r="S31" s="74"/>
      <c r="T31" s="74"/>
      <c r="U31" s="62"/>
    </row>
    <row r="32" spans="1:21" ht="15" customHeight="1" x14ac:dyDescent="0.25">
      <c r="A32" s="62"/>
      <c r="B32" s="313"/>
      <c r="C32" s="318"/>
      <c r="D32" s="319"/>
      <c r="E32" s="319"/>
      <c r="F32" s="319"/>
      <c r="G32" s="319"/>
      <c r="H32" s="319"/>
      <c r="I32" s="320"/>
      <c r="J32" s="173"/>
      <c r="K32" s="74"/>
      <c r="L32" s="74"/>
      <c r="M32" s="74"/>
      <c r="N32" s="74"/>
      <c r="O32" s="74"/>
      <c r="P32" s="74"/>
      <c r="Q32" s="74"/>
      <c r="R32" s="74"/>
      <c r="S32" s="74"/>
      <c r="T32" s="74"/>
      <c r="U32" s="62"/>
    </row>
    <row r="33" spans="1:21" ht="15" customHeight="1" x14ac:dyDescent="0.25">
      <c r="A33" s="62"/>
      <c r="B33" s="313"/>
      <c r="C33" s="318"/>
      <c r="D33" s="319"/>
      <c r="E33" s="319"/>
      <c r="F33" s="319"/>
      <c r="G33" s="319"/>
      <c r="H33" s="319"/>
      <c r="I33" s="320"/>
      <c r="J33" s="173"/>
      <c r="K33" s="74"/>
      <c r="L33" s="74"/>
      <c r="M33" s="74"/>
      <c r="N33" s="74"/>
      <c r="O33" s="74"/>
      <c r="P33" s="74"/>
      <c r="Q33" s="74"/>
      <c r="R33" s="74"/>
      <c r="S33" s="74"/>
      <c r="T33" s="74"/>
      <c r="U33" s="62"/>
    </row>
    <row r="34" spans="1:21" ht="50.25" customHeight="1" thickBot="1" x14ac:dyDescent="0.3">
      <c r="A34" s="62"/>
      <c r="B34" s="314"/>
      <c r="C34" s="321"/>
      <c r="D34" s="322"/>
      <c r="E34" s="322"/>
      <c r="F34" s="322"/>
      <c r="G34" s="322"/>
      <c r="H34" s="322"/>
      <c r="I34" s="323"/>
      <c r="J34" s="173"/>
      <c r="K34" s="74"/>
      <c r="L34" s="74"/>
      <c r="M34" s="74"/>
      <c r="N34" s="74"/>
      <c r="O34" s="74"/>
      <c r="P34" s="74"/>
      <c r="Q34" s="74"/>
      <c r="R34" s="74"/>
      <c r="S34" s="74"/>
      <c r="T34" s="74"/>
      <c r="U34" s="62"/>
    </row>
    <row r="35" spans="1:21" ht="41.25" customHeight="1" thickBot="1" x14ac:dyDescent="0.3">
      <c r="A35" s="62"/>
      <c r="B35" s="175" t="s">
        <v>75</v>
      </c>
      <c r="C35" s="307" t="s">
        <v>76</v>
      </c>
      <c r="D35" s="308"/>
      <c r="E35" s="308"/>
      <c r="F35" s="308"/>
      <c r="G35" s="308"/>
      <c r="H35" s="308"/>
      <c r="I35" s="309"/>
      <c r="J35" s="173"/>
      <c r="K35" s="74"/>
      <c r="L35" s="62"/>
      <c r="M35" s="62"/>
      <c r="N35" s="62"/>
      <c r="O35" s="62"/>
      <c r="P35" s="62"/>
      <c r="Q35" s="62"/>
      <c r="R35" s="62"/>
      <c r="S35" s="62"/>
      <c r="U35" s="62"/>
    </row>
    <row r="36" spans="1:21" ht="51.75" customHeight="1" thickBot="1" x14ac:dyDescent="0.3">
      <c r="A36" s="62"/>
      <c r="B36" s="174" t="s">
        <v>77</v>
      </c>
      <c r="C36" s="307" t="s">
        <v>78</v>
      </c>
      <c r="D36" s="308"/>
      <c r="E36" s="308"/>
      <c r="F36" s="308"/>
      <c r="G36" s="308"/>
      <c r="H36" s="308"/>
      <c r="I36" s="309"/>
      <c r="J36" s="173"/>
      <c r="K36" s="74"/>
      <c r="L36" s="62"/>
      <c r="M36" s="62"/>
      <c r="N36" s="62"/>
      <c r="O36" s="62"/>
      <c r="P36" s="62"/>
      <c r="Q36" s="62"/>
      <c r="R36" s="62"/>
      <c r="S36" s="62"/>
      <c r="T36" s="62"/>
      <c r="U36" s="62"/>
    </row>
    <row r="37" spans="1:21" ht="15" customHeight="1" x14ac:dyDescent="0.25">
      <c r="A37" s="62"/>
      <c r="B37" s="312" t="s">
        <v>79</v>
      </c>
      <c r="C37" s="315" t="s">
        <v>80</v>
      </c>
      <c r="D37" s="316"/>
      <c r="E37" s="316"/>
      <c r="F37" s="316"/>
      <c r="G37" s="316"/>
      <c r="H37" s="316"/>
      <c r="I37" s="317"/>
      <c r="J37" s="173"/>
      <c r="K37" s="74"/>
      <c r="L37" s="62"/>
      <c r="M37" s="62"/>
      <c r="N37" s="62"/>
      <c r="O37" s="62"/>
      <c r="P37" s="62"/>
      <c r="Q37" s="62"/>
      <c r="R37" s="62"/>
      <c r="S37" s="62"/>
      <c r="T37" s="62"/>
      <c r="U37" s="62"/>
    </row>
    <row r="38" spans="1:21" ht="39" customHeight="1" x14ac:dyDescent="0.25">
      <c r="A38" s="62"/>
      <c r="B38" s="313"/>
      <c r="C38" s="318"/>
      <c r="D38" s="319"/>
      <c r="E38" s="319"/>
      <c r="F38" s="319"/>
      <c r="G38" s="319"/>
      <c r="H38" s="319"/>
      <c r="I38" s="320"/>
      <c r="J38" s="173"/>
      <c r="K38" s="62"/>
      <c r="L38" s="62"/>
      <c r="M38" s="62"/>
      <c r="N38" s="62"/>
      <c r="O38" s="62"/>
      <c r="P38" s="62"/>
      <c r="Q38" s="62"/>
      <c r="R38" s="62"/>
      <c r="S38" s="62"/>
      <c r="T38" s="62"/>
      <c r="U38" s="62"/>
    </row>
    <row r="39" spans="1:21" ht="27" customHeight="1" x14ac:dyDescent="0.25">
      <c r="A39" s="62"/>
      <c r="B39" s="313"/>
      <c r="C39" s="318"/>
      <c r="D39" s="319"/>
      <c r="E39" s="319"/>
      <c r="F39" s="319"/>
      <c r="G39" s="319"/>
      <c r="H39" s="319"/>
      <c r="I39" s="320"/>
      <c r="J39" s="173"/>
      <c r="K39" s="62"/>
      <c r="L39" s="62"/>
      <c r="M39" s="62"/>
      <c r="N39" s="62"/>
      <c r="O39" s="62"/>
      <c r="P39" s="62"/>
      <c r="Q39" s="62"/>
      <c r="R39" s="62"/>
      <c r="S39" s="62"/>
      <c r="T39" s="62"/>
      <c r="U39" s="62"/>
    </row>
    <row r="40" spans="1:21" ht="24.75" customHeight="1" thickBot="1" x14ac:dyDescent="0.3">
      <c r="A40" s="62"/>
      <c r="B40" s="314"/>
      <c r="C40" s="321"/>
      <c r="D40" s="322"/>
      <c r="E40" s="322"/>
      <c r="F40" s="322"/>
      <c r="G40" s="322"/>
      <c r="H40" s="322"/>
      <c r="I40" s="323"/>
      <c r="J40" s="173"/>
      <c r="K40" s="62"/>
      <c r="L40" s="62"/>
      <c r="M40" s="62"/>
      <c r="N40" s="62"/>
      <c r="O40" s="62"/>
      <c r="P40" s="62"/>
      <c r="Q40" s="62"/>
      <c r="R40" s="62"/>
      <c r="S40" s="62"/>
      <c r="T40" s="62"/>
      <c r="U40" s="62"/>
    </row>
    <row r="41" spans="1:21" ht="36.75" customHeight="1" x14ac:dyDescent="0.25">
      <c r="A41" s="62"/>
      <c r="B41" s="74"/>
      <c r="C41" s="74"/>
      <c r="D41" s="74"/>
      <c r="E41" s="74"/>
      <c r="F41" s="74"/>
      <c r="G41" s="74"/>
      <c r="H41" s="74"/>
      <c r="I41" s="74"/>
      <c r="J41" s="74"/>
      <c r="K41" s="62"/>
      <c r="L41" s="62"/>
      <c r="M41" s="62"/>
      <c r="N41" s="62"/>
      <c r="O41" s="62"/>
      <c r="P41" s="62"/>
      <c r="Q41" s="62"/>
      <c r="R41" s="62"/>
      <c r="S41" s="62"/>
      <c r="T41" s="62"/>
      <c r="U41" s="62"/>
    </row>
    <row r="42" spans="1:21" ht="15" customHeight="1" x14ac:dyDescent="0.25">
      <c r="A42" s="62"/>
      <c r="B42" s="62"/>
      <c r="C42" s="62"/>
      <c r="D42" s="62"/>
      <c r="E42" s="62"/>
      <c r="F42" s="62"/>
      <c r="G42" s="62"/>
      <c r="H42" s="62"/>
      <c r="I42" s="62"/>
      <c r="J42" s="62"/>
      <c r="K42" s="62"/>
      <c r="U42" s="62"/>
    </row>
    <row r="43" spans="1:21" ht="15" customHeight="1" x14ac:dyDescent="0.25">
      <c r="A43" s="62"/>
      <c r="B43" s="62"/>
      <c r="C43" s="62"/>
      <c r="D43" s="62"/>
      <c r="E43" s="62"/>
      <c r="F43" s="62"/>
      <c r="G43" s="62"/>
      <c r="H43" s="62"/>
      <c r="I43" s="62"/>
      <c r="J43" s="62"/>
      <c r="K43" s="62"/>
      <c r="U43" s="62"/>
    </row>
    <row r="44" spans="1:21" ht="15" customHeight="1" x14ac:dyDescent="0.25">
      <c r="A44" s="62"/>
      <c r="B44" s="62"/>
      <c r="C44" s="62"/>
      <c r="D44" s="62"/>
      <c r="E44" s="62"/>
      <c r="F44" s="62"/>
      <c r="G44" s="62"/>
      <c r="H44" s="62"/>
      <c r="I44" s="62"/>
      <c r="J44" s="62"/>
      <c r="K44" s="62"/>
      <c r="U44" s="62"/>
    </row>
    <row r="45" spans="1:21" ht="15" customHeight="1" x14ac:dyDescent="0.25">
      <c r="A45" s="62"/>
      <c r="B45" s="62"/>
      <c r="C45" s="62"/>
      <c r="D45" s="62"/>
      <c r="E45" s="62"/>
      <c r="F45" s="62"/>
      <c r="G45" s="62"/>
      <c r="H45" s="62"/>
      <c r="I45" s="62"/>
      <c r="J45" s="62"/>
    </row>
    <row r="46" spans="1:21" ht="15" customHeight="1" x14ac:dyDescent="0.25">
      <c r="A46" s="62"/>
      <c r="B46" s="62"/>
      <c r="C46" s="62"/>
      <c r="D46" s="62"/>
      <c r="E46" s="62"/>
      <c r="F46" s="62"/>
      <c r="G46" s="62"/>
      <c r="H46" s="62"/>
      <c r="I46" s="62"/>
      <c r="J46" s="62"/>
    </row>
    <row r="47" spans="1:21" ht="15" customHeight="1" x14ac:dyDescent="0.25">
      <c r="A47" s="62"/>
      <c r="B47" s="62"/>
      <c r="C47" s="62"/>
      <c r="D47" s="62"/>
      <c r="E47" s="62"/>
      <c r="F47" s="62"/>
      <c r="G47" s="62"/>
      <c r="H47" s="62"/>
      <c r="I47" s="62"/>
      <c r="J47" s="62"/>
    </row>
    <row r="48" spans="1:21" ht="15" customHeight="1" x14ac:dyDescent="0.25">
      <c r="A48" s="62"/>
      <c r="B48" s="62"/>
      <c r="C48" s="62"/>
      <c r="D48" s="62"/>
      <c r="E48" s="62"/>
      <c r="F48" s="62"/>
      <c r="G48" s="62"/>
      <c r="H48" s="62"/>
      <c r="I48" s="62"/>
      <c r="J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zoomScaleSheetLayoutView="100" workbookViewId="0">
      <selection activeCell="L15" sqref="L15"/>
    </sheetView>
  </sheetViews>
  <sheetFormatPr baseColWidth="10" defaultColWidth="10.85546875" defaultRowHeight="15.75" x14ac:dyDescent="0.25"/>
  <cols>
    <col min="1" max="1" width="2.85546875" style="56" customWidth="1"/>
    <col min="2" max="2" width="18.140625" style="56" customWidth="1"/>
    <col min="3" max="6" width="10.85546875" style="56"/>
    <col min="7" max="7" width="17.85546875" style="56" customWidth="1"/>
    <col min="8" max="8" width="3.140625" style="56" customWidth="1"/>
    <col min="9" max="9" width="3.42578125" style="56" customWidth="1"/>
    <col min="10" max="10" width="37.85546875" style="56" customWidth="1"/>
    <col min="11" max="11" width="15.28515625" style="56" customWidth="1"/>
    <col min="12" max="14" width="10.85546875" style="56"/>
    <col min="15" max="15" width="11.42578125" style="56" customWidth="1"/>
    <col min="16" max="17" width="10.85546875" style="56"/>
    <col min="18" max="18" width="17.85546875" style="56" customWidth="1"/>
    <col min="19" max="19" width="3.28515625" style="56" customWidth="1"/>
    <col min="20" max="16384" width="10.85546875" style="56"/>
  </cols>
  <sheetData>
    <row r="1" spans="1:11" x14ac:dyDescent="0.25">
      <c r="A1" s="57"/>
      <c r="B1" s="57"/>
      <c r="C1" s="57"/>
      <c r="D1" s="57"/>
      <c r="E1" s="57"/>
      <c r="F1" s="57"/>
      <c r="G1" s="57"/>
      <c r="H1" s="57"/>
      <c r="I1" s="57"/>
      <c r="J1" s="57"/>
    </row>
    <row r="2" spans="1:11" ht="44.1" customHeight="1" x14ac:dyDescent="0.25">
      <c r="A2" s="57"/>
      <c r="B2" s="57"/>
      <c r="C2" s="57"/>
      <c r="D2" s="57"/>
      <c r="E2" s="57"/>
      <c r="F2" s="57"/>
      <c r="G2" s="57"/>
      <c r="H2" s="57"/>
      <c r="I2" s="57"/>
      <c r="J2" s="57"/>
    </row>
    <row r="3" spans="1:11" ht="18.95" customHeight="1" x14ac:dyDescent="0.3">
      <c r="A3" s="57"/>
      <c r="B3" s="324" t="s">
        <v>51</v>
      </c>
      <c r="C3" s="324"/>
      <c r="D3" s="324"/>
      <c r="E3" s="324"/>
      <c r="F3" s="324"/>
      <c r="G3" s="324"/>
      <c r="H3" s="324"/>
      <c r="I3" s="324"/>
      <c r="J3" s="324"/>
    </row>
    <row r="4" spans="1:11" ht="24.75" customHeight="1" x14ac:dyDescent="0.25">
      <c r="A4" s="57"/>
      <c r="B4" s="325" t="s">
        <v>81</v>
      </c>
      <c r="C4" s="325"/>
      <c r="D4" s="325"/>
      <c r="E4" s="325"/>
      <c r="F4" s="325"/>
      <c r="G4" s="325"/>
      <c r="H4" s="325"/>
      <c r="I4" s="325"/>
      <c r="J4" s="325"/>
      <c r="K4" s="62"/>
    </row>
    <row r="5" spans="1:11" ht="16.5" thickBot="1" x14ac:dyDescent="0.3">
      <c r="A5" s="57"/>
      <c r="B5" s="63"/>
      <c r="C5" s="63"/>
      <c r="D5" s="63"/>
      <c r="E5" s="63"/>
      <c r="F5" s="63"/>
      <c r="G5" s="63"/>
      <c r="H5" s="63"/>
      <c r="I5" s="63"/>
      <c r="J5" s="63"/>
      <c r="K5" s="62"/>
    </row>
    <row r="6" spans="1:11" x14ac:dyDescent="0.25">
      <c r="A6" s="63"/>
      <c r="B6" s="326" t="s">
        <v>82</v>
      </c>
      <c r="C6" s="327"/>
      <c r="D6" s="327"/>
      <c r="E6" s="327"/>
      <c r="F6" s="327"/>
      <c r="G6" s="327"/>
      <c r="H6" s="327"/>
      <c r="I6" s="327"/>
      <c r="J6" s="328"/>
      <c r="K6" s="62"/>
    </row>
    <row r="7" spans="1:11" ht="66.95" customHeight="1" x14ac:dyDescent="0.25">
      <c r="A7" s="63"/>
      <c r="B7" s="329"/>
      <c r="C7" s="330"/>
      <c r="D7" s="330"/>
      <c r="E7" s="330"/>
      <c r="F7" s="330"/>
      <c r="G7" s="330"/>
      <c r="H7" s="330"/>
      <c r="I7" s="330"/>
      <c r="J7" s="331"/>
      <c r="K7" s="62"/>
    </row>
    <row r="8" spans="1:11" ht="35.25" customHeight="1" thickBot="1" x14ac:dyDescent="0.3">
      <c r="A8" s="63"/>
      <c r="B8" s="329"/>
      <c r="C8" s="330"/>
      <c r="D8" s="330"/>
      <c r="E8" s="330"/>
      <c r="F8" s="330"/>
      <c r="G8" s="330"/>
      <c r="H8" s="330"/>
      <c r="I8" s="330"/>
      <c r="J8" s="331"/>
      <c r="K8" s="62"/>
    </row>
    <row r="9" spans="1:11" ht="32.25" customHeight="1" thickBot="1" x14ac:dyDescent="0.3">
      <c r="A9" s="63"/>
      <c r="B9" s="65"/>
      <c r="C9" s="332" t="s">
        <v>83</v>
      </c>
      <c r="D9" s="333"/>
      <c r="E9" s="333"/>
      <c r="F9" s="334"/>
      <c r="G9" s="64" t="s">
        <v>84</v>
      </c>
      <c r="H9" s="63"/>
      <c r="I9" s="63"/>
      <c r="J9" s="66"/>
      <c r="K9" s="62"/>
    </row>
    <row r="10" spans="1:11" ht="81.95" customHeight="1" thickBot="1" x14ac:dyDescent="0.3">
      <c r="A10" s="63"/>
      <c r="B10" s="65"/>
      <c r="C10" s="307" t="s">
        <v>85</v>
      </c>
      <c r="D10" s="308"/>
      <c r="E10" s="308"/>
      <c r="F10" s="309"/>
      <c r="G10" s="67">
        <v>5</v>
      </c>
      <c r="H10" s="63"/>
      <c r="I10" s="63"/>
      <c r="J10" s="66"/>
      <c r="K10" s="62"/>
    </row>
    <row r="11" spans="1:11" ht="26.25" customHeight="1" x14ac:dyDescent="0.25">
      <c r="A11" s="63"/>
      <c r="B11" s="65"/>
      <c r="C11" s="315" t="s">
        <v>86</v>
      </c>
      <c r="D11" s="316"/>
      <c r="E11" s="316"/>
      <c r="F11" s="317"/>
      <c r="G11" s="335">
        <v>4</v>
      </c>
      <c r="H11" s="63"/>
      <c r="I11" s="63"/>
      <c r="J11" s="66"/>
      <c r="K11" s="62"/>
    </row>
    <row r="12" spans="1:11" ht="38.25" customHeight="1" thickBot="1" x14ac:dyDescent="0.3">
      <c r="A12" s="63"/>
      <c r="B12" s="65"/>
      <c r="C12" s="321"/>
      <c r="D12" s="322"/>
      <c r="E12" s="322"/>
      <c r="F12" s="323"/>
      <c r="G12" s="336"/>
      <c r="H12" s="63"/>
      <c r="I12" s="63"/>
      <c r="J12" s="66"/>
      <c r="K12" s="62"/>
    </row>
    <row r="13" spans="1:11" ht="66.75" customHeight="1" x14ac:dyDescent="0.25">
      <c r="A13" s="63"/>
      <c r="B13" s="65"/>
      <c r="C13" s="315" t="s">
        <v>87</v>
      </c>
      <c r="D13" s="316"/>
      <c r="E13" s="316"/>
      <c r="F13" s="317"/>
      <c r="G13" s="335">
        <v>3</v>
      </c>
      <c r="H13" s="63"/>
      <c r="I13" s="63"/>
      <c r="J13" s="66"/>
      <c r="K13" s="62"/>
    </row>
    <row r="14" spans="1:11" ht="14.1" customHeight="1" thickBot="1" x14ac:dyDescent="0.3">
      <c r="A14" s="63"/>
      <c r="B14" s="65"/>
      <c r="C14" s="321"/>
      <c r="D14" s="322"/>
      <c r="E14" s="322"/>
      <c r="F14" s="323"/>
      <c r="G14" s="336"/>
      <c r="H14" s="63"/>
      <c r="I14" s="63"/>
      <c r="J14" s="66"/>
      <c r="K14" s="62"/>
    </row>
    <row r="15" spans="1:11" ht="51.75" customHeight="1" thickBot="1" x14ac:dyDescent="0.3">
      <c r="A15" s="63"/>
      <c r="B15" s="65"/>
      <c r="C15" s="307" t="s">
        <v>88</v>
      </c>
      <c r="D15" s="308"/>
      <c r="E15" s="308"/>
      <c r="F15" s="309"/>
      <c r="G15" s="67">
        <v>2</v>
      </c>
      <c r="H15" s="63"/>
      <c r="I15" s="63"/>
      <c r="J15" s="66"/>
      <c r="K15" s="62"/>
    </row>
    <row r="16" spans="1:11" ht="61.5" customHeight="1" thickBot="1" x14ac:dyDescent="0.3">
      <c r="A16" s="63"/>
      <c r="B16" s="68"/>
      <c r="C16" s="307" t="s">
        <v>89</v>
      </c>
      <c r="D16" s="308"/>
      <c r="E16" s="308"/>
      <c r="F16" s="309"/>
      <c r="G16" s="67">
        <v>1</v>
      </c>
      <c r="H16" s="101"/>
      <c r="I16" s="101"/>
      <c r="J16" s="102"/>
      <c r="K16" s="62"/>
    </row>
    <row r="17" spans="1:11" ht="63.95" customHeight="1" x14ac:dyDescent="0.25">
      <c r="A17" s="63"/>
      <c r="B17" s="349" t="s">
        <v>90</v>
      </c>
      <c r="C17" s="350"/>
      <c r="D17" s="350"/>
      <c r="E17" s="350"/>
      <c r="F17" s="350"/>
      <c r="G17" s="350"/>
      <c r="H17" s="350"/>
      <c r="I17" s="350"/>
      <c r="J17" s="351"/>
      <c r="K17" s="62"/>
    </row>
    <row r="18" spans="1:11" ht="48.75" customHeight="1" x14ac:dyDescent="0.25">
      <c r="A18" s="63"/>
      <c r="B18" s="69" t="s">
        <v>91</v>
      </c>
      <c r="C18" s="340" t="s">
        <v>92</v>
      </c>
      <c r="D18" s="341"/>
      <c r="E18" s="341"/>
      <c r="F18" s="341"/>
      <c r="G18" s="341"/>
      <c r="H18" s="341"/>
      <c r="I18" s="341"/>
      <c r="J18" s="342"/>
      <c r="K18" s="62"/>
    </row>
    <row r="19" spans="1:11" ht="20.100000000000001" customHeight="1" x14ac:dyDescent="0.25">
      <c r="A19" s="63"/>
      <c r="B19" s="70"/>
      <c r="C19" s="343"/>
      <c r="D19" s="344"/>
      <c r="E19" s="344"/>
      <c r="F19" s="344"/>
      <c r="G19" s="344"/>
      <c r="H19" s="344"/>
      <c r="I19" s="344"/>
      <c r="J19" s="345"/>
      <c r="K19" s="62"/>
    </row>
    <row r="20" spans="1:11" ht="15" customHeight="1" x14ac:dyDescent="0.25">
      <c r="A20" s="63"/>
      <c r="B20" s="352" t="s">
        <v>93</v>
      </c>
      <c r="C20" s="340" t="s">
        <v>94</v>
      </c>
      <c r="D20" s="341"/>
      <c r="E20" s="341"/>
      <c r="F20" s="341"/>
      <c r="G20" s="341"/>
      <c r="H20" s="341"/>
      <c r="I20" s="341"/>
      <c r="J20" s="342"/>
      <c r="K20" s="62"/>
    </row>
    <row r="21" spans="1:11" ht="59.25" customHeight="1" x14ac:dyDescent="0.25">
      <c r="A21" s="63"/>
      <c r="B21" s="353"/>
      <c r="C21" s="343"/>
      <c r="D21" s="344"/>
      <c r="E21" s="344"/>
      <c r="F21" s="344"/>
      <c r="G21" s="344"/>
      <c r="H21" s="344"/>
      <c r="I21" s="344"/>
      <c r="J21" s="345"/>
      <c r="K21" s="62"/>
    </row>
    <row r="22" spans="1:11" ht="75" customHeight="1" x14ac:dyDescent="0.25">
      <c r="A22" s="63"/>
      <c r="B22" s="104" t="s">
        <v>95</v>
      </c>
      <c r="C22" s="337" t="s">
        <v>96</v>
      </c>
      <c r="D22" s="338"/>
      <c r="E22" s="338"/>
      <c r="F22" s="338"/>
      <c r="G22" s="338"/>
      <c r="H22" s="338"/>
      <c r="I22" s="338"/>
      <c r="J22" s="339"/>
      <c r="K22" s="62"/>
    </row>
    <row r="23" spans="1:11" ht="78" customHeight="1" x14ac:dyDescent="0.25">
      <c r="A23" s="63"/>
      <c r="B23" s="71" t="s">
        <v>97</v>
      </c>
      <c r="C23" s="340" t="s">
        <v>98</v>
      </c>
      <c r="D23" s="341"/>
      <c r="E23" s="341"/>
      <c r="F23" s="341"/>
      <c r="G23" s="341"/>
      <c r="H23" s="341"/>
      <c r="I23" s="341"/>
      <c r="J23" s="342"/>
      <c r="K23" s="62"/>
    </row>
    <row r="24" spans="1:11" ht="9" customHeight="1" x14ac:dyDescent="0.25">
      <c r="A24" s="63"/>
      <c r="B24" s="72"/>
      <c r="C24" s="343"/>
      <c r="D24" s="344"/>
      <c r="E24" s="344"/>
      <c r="F24" s="344"/>
      <c r="G24" s="344"/>
      <c r="H24" s="344"/>
      <c r="I24" s="344"/>
      <c r="J24" s="345"/>
      <c r="K24" s="62"/>
    </row>
    <row r="25" spans="1:11" ht="65.25" customHeight="1" x14ac:dyDescent="0.25">
      <c r="A25" s="63"/>
      <c r="B25" s="71" t="s">
        <v>99</v>
      </c>
      <c r="C25" s="340" t="s">
        <v>100</v>
      </c>
      <c r="D25" s="341"/>
      <c r="E25" s="341"/>
      <c r="F25" s="341"/>
      <c r="G25" s="341"/>
      <c r="H25" s="341"/>
      <c r="I25" s="341"/>
      <c r="J25" s="342"/>
      <c r="K25" s="62"/>
    </row>
    <row r="26" spans="1:11" ht="21.95" customHeight="1" thickBot="1" x14ac:dyDescent="0.3">
      <c r="A26" s="63"/>
      <c r="B26" s="73"/>
      <c r="C26" s="346"/>
      <c r="D26" s="347"/>
      <c r="E26" s="347"/>
      <c r="F26" s="347"/>
      <c r="G26" s="347"/>
      <c r="H26" s="347"/>
      <c r="I26" s="347"/>
      <c r="J26" s="348"/>
      <c r="K26" s="62"/>
    </row>
    <row r="27" spans="1:11" ht="57" customHeight="1" x14ac:dyDescent="0.25">
      <c r="A27" s="63"/>
      <c r="B27" s="74"/>
      <c r="C27" s="74"/>
      <c r="D27" s="74"/>
      <c r="E27" s="74"/>
      <c r="F27" s="74"/>
      <c r="G27" s="74"/>
      <c r="H27" s="74"/>
      <c r="I27" s="74"/>
      <c r="J27" s="74"/>
      <c r="K27" s="62"/>
    </row>
    <row r="28" spans="1:11" ht="24.75" customHeight="1" x14ac:dyDescent="0.25">
      <c r="A28" s="63"/>
      <c r="B28" s="74"/>
      <c r="C28" s="74"/>
      <c r="D28" s="74"/>
      <c r="E28" s="74"/>
      <c r="F28" s="74"/>
      <c r="G28" s="74"/>
      <c r="H28" s="74"/>
      <c r="I28" s="74"/>
      <c r="J28" s="74"/>
      <c r="K28" s="62"/>
    </row>
    <row r="29" spans="1:11" ht="102" customHeight="1" x14ac:dyDescent="0.25">
      <c r="A29" s="63"/>
      <c r="B29" s="74"/>
      <c r="C29" s="74"/>
      <c r="D29" s="74"/>
      <c r="E29" s="74"/>
      <c r="F29" s="74"/>
      <c r="G29" s="74"/>
      <c r="H29" s="74"/>
      <c r="I29" s="74"/>
      <c r="J29" s="74"/>
      <c r="K29" s="62"/>
    </row>
    <row r="30" spans="1:11" ht="63" customHeight="1" x14ac:dyDescent="0.25">
      <c r="A30" s="74"/>
      <c r="B30" s="74"/>
      <c r="C30" s="74"/>
      <c r="D30" s="74"/>
      <c r="E30" s="74"/>
      <c r="F30" s="74"/>
      <c r="G30" s="74"/>
      <c r="H30" s="74"/>
      <c r="I30" s="74"/>
      <c r="J30" s="74"/>
      <c r="K30" s="62"/>
    </row>
    <row r="31" spans="1:11" ht="15.75" customHeight="1" x14ac:dyDescent="0.25">
      <c r="A31" s="74"/>
      <c r="B31" s="74"/>
      <c r="C31" s="74"/>
      <c r="D31" s="74"/>
      <c r="E31" s="74"/>
      <c r="F31" s="74"/>
      <c r="G31" s="74"/>
      <c r="H31" s="74"/>
      <c r="I31" s="74"/>
      <c r="J31" s="74"/>
      <c r="K31" s="62"/>
    </row>
    <row r="32" spans="1:11" ht="30" customHeight="1" x14ac:dyDescent="0.25">
      <c r="A32" s="74"/>
      <c r="B32" s="74"/>
      <c r="C32" s="74"/>
      <c r="D32" s="74"/>
      <c r="E32" s="74"/>
      <c r="F32" s="74"/>
      <c r="G32" s="74"/>
      <c r="H32" s="74"/>
      <c r="I32" s="74"/>
      <c r="J32" s="74"/>
      <c r="K32" s="62"/>
    </row>
    <row r="33" spans="1:11" ht="42.75" customHeight="1" x14ac:dyDescent="0.25">
      <c r="A33" s="74"/>
      <c r="B33" s="74"/>
      <c r="C33" s="74"/>
      <c r="D33" s="74"/>
      <c r="E33" s="74"/>
      <c r="F33" s="74"/>
      <c r="G33" s="74"/>
      <c r="H33" s="74"/>
      <c r="I33" s="74"/>
      <c r="J33" s="74"/>
      <c r="K33" s="62"/>
    </row>
    <row r="34" spans="1:11" ht="59.25" customHeight="1" x14ac:dyDescent="0.25">
      <c r="A34" s="74"/>
      <c r="B34" s="74"/>
      <c r="C34" s="74"/>
      <c r="D34" s="74"/>
      <c r="E34" s="74"/>
      <c r="F34" s="74"/>
      <c r="G34" s="74"/>
      <c r="H34" s="74"/>
      <c r="I34" s="74"/>
      <c r="J34" s="74"/>
      <c r="K34" s="62"/>
    </row>
    <row r="35" spans="1:11" ht="15" customHeight="1" x14ac:dyDescent="0.25">
      <c r="A35" s="74"/>
      <c r="B35" s="74"/>
      <c r="C35" s="74"/>
      <c r="D35" s="74"/>
      <c r="E35" s="74"/>
      <c r="F35" s="74"/>
      <c r="G35" s="74"/>
      <c r="H35" s="74"/>
      <c r="I35" s="74"/>
      <c r="J35" s="74"/>
      <c r="K35" s="62"/>
    </row>
    <row r="36" spans="1:11" ht="15" customHeight="1" x14ac:dyDescent="0.25">
      <c r="A36" s="74"/>
      <c r="B36" s="74"/>
      <c r="C36" s="74"/>
      <c r="D36" s="74"/>
      <c r="E36" s="74"/>
      <c r="F36" s="74"/>
      <c r="G36" s="74"/>
      <c r="H36" s="74"/>
      <c r="I36" s="74"/>
      <c r="J36" s="74"/>
      <c r="K36" s="62"/>
    </row>
    <row r="37" spans="1:11" ht="15" customHeight="1" x14ac:dyDescent="0.25">
      <c r="A37" s="74"/>
      <c r="B37" s="74"/>
      <c r="C37" s="74"/>
      <c r="D37" s="74"/>
      <c r="E37" s="74"/>
      <c r="F37" s="74"/>
      <c r="G37" s="74"/>
      <c r="H37" s="74"/>
      <c r="I37" s="74"/>
      <c r="J37" s="74"/>
      <c r="K37" s="62"/>
    </row>
    <row r="38" spans="1:11" ht="50.25" customHeight="1" x14ac:dyDescent="0.25">
      <c r="A38" s="74"/>
      <c r="B38" s="74"/>
      <c r="C38" s="74"/>
      <c r="D38" s="74"/>
      <c r="E38" s="74"/>
      <c r="F38" s="74"/>
      <c r="G38" s="74"/>
      <c r="H38" s="74"/>
      <c r="I38" s="74"/>
      <c r="J38" s="74"/>
      <c r="K38" s="62"/>
    </row>
    <row r="39" spans="1:11" ht="41.25" customHeight="1" x14ac:dyDescent="0.25">
      <c r="A39" s="74"/>
      <c r="B39" s="62"/>
      <c r="C39" s="62"/>
      <c r="D39" s="62"/>
      <c r="E39" s="62"/>
      <c r="F39" s="62"/>
      <c r="G39" s="62"/>
      <c r="H39" s="62"/>
      <c r="I39" s="62"/>
      <c r="K39" s="62"/>
    </row>
    <row r="40" spans="1:11" ht="51.75" customHeight="1" x14ac:dyDescent="0.25">
      <c r="A40" s="74"/>
      <c r="B40" s="62"/>
      <c r="C40" s="62"/>
      <c r="D40" s="62"/>
      <c r="E40" s="62"/>
      <c r="F40" s="62"/>
      <c r="G40" s="62"/>
      <c r="H40" s="62"/>
      <c r="I40" s="62"/>
      <c r="J40" s="62"/>
      <c r="K40" s="62"/>
    </row>
    <row r="41" spans="1:11" ht="15" customHeight="1" x14ac:dyDescent="0.25">
      <c r="A41" s="74"/>
      <c r="B41" s="62"/>
      <c r="C41" s="62"/>
      <c r="D41" s="62"/>
      <c r="E41" s="62"/>
      <c r="F41" s="62"/>
      <c r="G41" s="62"/>
      <c r="H41" s="62"/>
      <c r="I41" s="62"/>
      <c r="J41" s="62"/>
      <c r="K41" s="62"/>
    </row>
    <row r="42" spans="1:11" ht="39" customHeight="1" x14ac:dyDescent="0.25">
      <c r="A42" s="62"/>
      <c r="B42" s="62"/>
      <c r="C42" s="62"/>
      <c r="D42" s="62"/>
      <c r="E42" s="62"/>
      <c r="F42" s="62"/>
      <c r="G42" s="62"/>
      <c r="H42" s="62"/>
      <c r="I42" s="62"/>
      <c r="J42" s="62"/>
      <c r="K42" s="62"/>
    </row>
    <row r="43" spans="1:11" ht="27" customHeight="1" x14ac:dyDescent="0.25">
      <c r="A43" s="62"/>
      <c r="B43" s="62"/>
      <c r="C43" s="62"/>
      <c r="D43" s="62"/>
      <c r="E43" s="62"/>
      <c r="F43" s="62"/>
      <c r="G43" s="62"/>
      <c r="H43" s="62"/>
      <c r="I43" s="62"/>
      <c r="J43" s="62"/>
      <c r="K43" s="62"/>
    </row>
    <row r="44" spans="1:11" ht="24.75" customHeight="1" x14ac:dyDescent="0.25">
      <c r="A44" s="62"/>
      <c r="B44" s="62"/>
      <c r="C44" s="62"/>
      <c r="D44" s="62"/>
      <c r="E44" s="62"/>
      <c r="F44" s="62"/>
      <c r="G44" s="62"/>
      <c r="H44" s="62"/>
      <c r="I44" s="62"/>
      <c r="J44" s="62"/>
      <c r="K44" s="62"/>
    </row>
    <row r="45" spans="1:11" ht="36.75" customHeight="1" x14ac:dyDescent="0.25">
      <c r="A45" s="62"/>
      <c r="B45" s="62"/>
      <c r="C45" s="62"/>
      <c r="D45" s="62"/>
      <c r="E45" s="62"/>
      <c r="F45" s="62"/>
      <c r="G45" s="62"/>
      <c r="H45" s="62"/>
      <c r="I45" s="62"/>
      <c r="J45" s="62"/>
      <c r="K45" s="62"/>
    </row>
    <row r="46" spans="1:11" ht="15" customHeight="1" x14ac:dyDescent="0.25">
      <c r="A46" s="62"/>
      <c r="K46" s="62"/>
    </row>
    <row r="47" spans="1:11" ht="15" customHeight="1" x14ac:dyDescent="0.25">
      <c r="A47" s="62"/>
      <c r="K47" s="62"/>
    </row>
    <row r="48" spans="1:11" ht="15" customHeight="1" x14ac:dyDescent="0.25">
      <c r="A48" s="62"/>
      <c r="K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G13:G14"/>
    <mergeCell ref="G11:G12"/>
    <mergeCell ref="C22:J22"/>
    <mergeCell ref="C23:J24"/>
    <mergeCell ref="C25:J26"/>
    <mergeCell ref="C18:J19"/>
    <mergeCell ref="C20:J21"/>
    <mergeCell ref="C11:F12"/>
    <mergeCell ref="C13:F14"/>
    <mergeCell ref="C15:F15"/>
    <mergeCell ref="C16:F16"/>
    <mergeCell ref="B17:J17"/>
    <mergeCell ref="B20:B21"/>
    <mergeCell ref="B3:J3"/>
    <mergeCell ref="B4:J4"/>
    <mergeCell ref="B6:J8"/>
    <mergeCell ref="C10:F10"/>
    <mergeCell ref="C9:F9"/>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74" t="s">
        <v>101</v>
      </c>
      <c r="C2" s="274"/>
      <c r="D2" s="274"/>
      <c r="E2" s="274"/>
      <c r="F2" s="359"/>
      <c r="G2" s="359"/>
      <c r="H2" s="359"/>
      <c r="I2" s="359"/>
      <c r="J2" s="359"/>
      <c r="K2" s="359"/>
      <c r="L2" s="359"/>
      <c r="M2" s="359"/>
      <c r="N2" s="359"/>
      <c r="O2" s="359"/>
      <c r="P2" s="359"/>
      <c r="Q2" s="359"/>
      <c r="R2" s="359"/>
    </row>
    <row r="3" spans="1:18" x14ac:dyDescent="0.25">
      <c r="B3" s="290" t="s">
        <v>1</v>
      </c>
      <c r="C3" s="290"/>
      <c r="D3" s="290"/>
      <c r="E3" s="29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4" t="s">
        <v>103</v>
      </c>
      <c r="D9" s="5" t="s">
        <v>104</v>
      </c>
      <c r="G9" s="7"/>
    </row>
    <row r="10" spans="1:18" x14ac:dyDescent="0.25">
      <c r="C10" s="284"/>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60" t="s">
        <v>14</v>
      </c>
      <c r="B15" s="361"/>
      <c r="C15" s="361"/>
      <c r="D15" s="361"/>
      <c r="E15" s="361"/>
      <c r="F15" s="361"/>
      <c r="G15" s="361"/>
      <c r="H15" s="362" t="s">
        <v>107</v>
      </c>
      <c r="I15" s="363"/>
      <c r="J15" s="363"/>
      <c r="K15" s="363"/>
      <c r="L15" s="363"/>
      <c r="M15" s="363"/>
      <c r="N15" s="363"/>
      <c r="O15" s="363"/>
      <c r="P15" s="363"/>
      <c r="Q15" s="363"/>
      <c r="R15" s="364"/>
    </row>
    <row r="16" spans="1:18" ht="28.5" customHeight="1" x14ac:dyDescent="0.25">
      <c r="A16" s="90" t="s">
        <v>17</v>
      </c>
      <c r="B16" s="90" t="s">
        <v>18</v>
      </c>
      <c r="C16" s="94" t="s">
        <v>19</v>
      </c>
      <c r="D16" s="90" t="s">
        <v>20</v>
      </c>
      <c r="E16" s="90" t="s">
        <v>108</v>
      </c>
      <c r="F16" s="90" t="s">
        <v>22</v>
      </c>
      <c r="G16" s="32" t="s">
        <v>23</v>
      </c>
      <c r="H16" s="354" t="s">
        <v>109</v>
      </c>
      <c r="I16" s="355"/>
      <c r="J16" s="355"/>
      <c r="K16" s="356"/>
      <c r="L16" s="90" t="s">
        <v>110</v>
      </c>
      <c r="M16" s="357" t="s">
        <v>111</v>
      </c>
      <c r="N16" s="295" t="s">
        <v>112</v>
      </c>
      <c r="O16" s="354" t="s">
        <v>113</v>
      </c>
      <c r="P16" s="356"/>
      <c r="Q16" s="354" t="s">
        <v>16</v>
      </c>
      <c r="R16" s="356"/>
    </row>
    <row r="17" spans="1:18" ht="30" customHeight="1" x14ac:dyDescent="0.25">
      <c r="A17" s="288" t="s">
        <v>26</v>
      </c>
      <c r="B17" s="289">
        <v>0.3</v>
      </c>
      <c r="C17" s="275" t="s">
        <v>27</v>
      </c>
      <c r="D17" s="9" t="s">
        <v>28</v>
      </c>
      <c r="E17" s="275">
        <v>4</v>
      </c>
      <c r="F17" s="275" t="s">
        <v>29</v>
      </c>
      <c r="G17" s="281" t="s">
        <v>30</v>
      </c>
      <c r="H17" s="88" t="s">
        <v>114</v>
      </c>
      <c r="I17" s="88" t="s">
        <v>115</v>
      </c>
      <c r="J17" s="88" t="s">
        <v>116</v>
      </c>
      <c r="K17" s="88" t="s">
        <v>117</v>
      </c>
      <c r="L17" s="8" t="s">
        <v>118</v>
      </c>
      <c r="M17" s="358"/>
      <c r="N17" s="296"/>
      <c r="O17" s="19" t="s">
        <v>119</v>
      </c>
      <c r="P17" s="19" t="s">
        <v>120</v>
      </c>
      <c r="Q17" s="19" t="s">
        <v>24</v>
      </c>
      <c r="R17" s="19" t="s">
        <v>25</v>
      </c>
    </row>
    <row r="18" spans="1:18" ht="45" customHeight="1" x14ac:dyDescent="0.25">
      <c r="A18" s="288"/>
      <c r="B18" s="288"/>
      <c r="C18" s="276"/>
      <c r="D18" s="10" t="s">
        <v>31</v>
      </c>
      <c r="E18" s="276"/>
      <c r="F18" s="276"/>
      <c r="G18" s="281"/>
      <c r="H18" s="368">
        <v>0.25</v>
      </c>
      <c r="I18" s="368">
        <f>1/E17</f>
        <v>0.25</v>
      </c>
      <c r="J18" s="368"/>
      <c r="K18" s="368"/>
      <c r="L18" s="365">
        <f>SUM(H18:K18)</f>
        <v>0.5</v>
      </c>
      <c r="M18" s="365">
        <f>2*B17/E17</f>
        <v>0.15</v>
      </c>
      <c r="N18" s="373" t="s">
        <v>121</v>
      </c>
      <c r="O18" s="373" t="s">
        <v>122</v>
      </c>
      <c r="P18" s="275" t="s">
        <v>123</v>
      </c>
      <c r="Q18" s="373" t="s">
        <v>124</v>
      </c>
      <c r="R18" s="275"/>
    </row>
    <row r="19" spans="1:18" ht="35.25" customHeight="1" x14ac:dyDescent="0.25">
      <c r="A19" s="288"/>
      <c r="B19" s="288"/>
      <c r="C19" s="276"/>
      <c r="D19" s="10" t="s">
        <v>32</v>
      </c>
      <c r="E19" s="276"/>
      <c r="F19" s="276"/>
      <c r="G19" s="281"/>
      <c r="H19" s="369"/>
      <c r="I19" s="371"/>
      <c r="J19" s="371"/>
      <c r="K19" s="371"/>
      <c r="L19" s="366"/>
      <c r="M19" s="366"/>
      <c r="N19" s="374"/>
      <c r="O19" s="374"/>
      <c r="P19" s="276"/>
      <c r="Q19" s="374"/>
      <c r="R19" s="276"/>
    </row>
    <row r="20" spans="1:18" ht="39.75" customHeight="1" x14ac:dyDescent="0.25">
      <c r="A20" s="288"/>
      <c r="B20" s="288"/>
      <c r="C20" s="277"/>
      <c r="D20" s="10" t="s">
        <v>33</v>
      </c>
      <c r="E20" s="277"/>
      <c r="F20" s="277"/>
      <c r="G20" s="281"/>
      <c r="H20" s="370"/>
      <c r="I20" s="372"/>
      <c r="J20" s="372"/>
      <c r="K20" s="372"/>
      <c r="L20" s="367"/>
      <c r="M20" s="367"/>
      <c r="N20" s="375"/>
      <c r="O20" s="375"/>
      <c r="P20" s="277"/>
      <c r="Q20" s="375"/>
      <c r="R20" s="277"/>
    </row>
    <row r="21" spans="1:18" ht="56.25" customHeight="1" x14ac:dyDescent="0.25">
      <c r="A21" s="294" t="s">
        <v>34</v>
      </c>
      <c r="B21" s="278">
        <v>0.4</v>
      </c>
      <c r="C21" s="275" t="s">
        <v>35</v>
      </c>
      <c r="D21" s="10" t="s">
        <v>125</v>
      </c>
      <c r="E21" s="275">
        <v>20</v>
      </c>
      <c r="F21" s="275" t="s">
        <v>37</v>
      </c>
      <c r="G21" s="275" t="s">
        <v>126</v>
      </c>
      <c r="H21" s="368">
        <v>0.08</v>
      </c>
      <c r="I21" s="368">
        <f>7/E21</f>
        <v>0.35</v>
      </c>
      <c r="J21" s="376"/>
      <c r="K21" s="275"/>
      <c r="L21" s="376">
        <f>+H21+I21+J21+K21</f>
        <v>0.43</v>
      </c>
      <c r="M21" s="376">
        <f>9*B21/E21</f>
        <v>0.18</v>
      </c>
      <c r="N21" s="275"/>
      <c r="O21" s="275"/>
      <c r="P21" s="275"/>
      <c r="Q21" s="275"/>
      <c r="R21" s="298"/>
    </row>
    <row r="22" spans="1:18" ht="47.25" customHeight="1" x14ac:dyDescent="0.25">
      <c r="A22" s="295"/>
      <c r="B22" s="279"/>
      <c r="C22" s="276"/>
      <c r="D22" s="10" t="s">
        <v>39</v>
      </c>
      <c r="E22" s="276"/>
      <c r="F22" s="276"/>
      <c r="G22" s="276"/>
      <c r="H22" s="371"/>
      <c r="I22" s="371"/>
      <c r="J22" s="276"/>
      <c r="K22" s="276"/>
      <c r="L22" s="377"/>
      <c r="M22" s="377"/>
      <c r="N22" s="276"/>
      <c r="O22" s="276"/>
      <c r="P22" s="276"/>
      <c r="Q22" s="276"/>
      <c r="R22" s="299"/>
    </row>
    <row r="23" spans="1:18" ht="57" customHeight="1" x14ac:dyDescent="0.25">
      <c r="A23" s="296"/>
      <c r="B23" s="280"/>
      <c r="C23" s="277"/>
      <c r="D23" s="10" t="s">
        <v>41</v>
      </c>
      <c r="E23" s="276"/>
      <c r="F23" s="277"/>
      <c r="G23" s="277"/>
      <c r="H23" s="372"/>
      <c r="I23" s="372"/>
      <c r="J23" s="277"/>
      <c r="K23" s="277"/>
      <c r="L23" s="378"/>
      <c r="M23" s="378"/>
      <c r="N23" s="277"/>
      <c r="O23" s="277"/>
      <c r="P23" s="277"/>
      <c r="Q23" s="277"/>
      <c r="R23" s="300"/>
    </row>
    <row r="24" spans="1:18" ht="55.5" customHeight="1" x14ac:dyDescent="0.25">
      <c r="A24" s="294" t="s">
        <v>43</v>
      </c>
      <c r="B24" s="278">
        <v>0.3</v>
      </c>
      <c r="C24" s="275" t="s">
        <v>44</v>
      </c>
      <c r="D24" s="10" t="s">
        <v>45</v>
      </c>
      <c r="E24" s="275">
        <v>15</v>
      </c>
      <c r="F24" s="275" t="s">
        <v>29</v>
      </c>
      <c r="G24" s="275" t="s">
        <v>42</v>
      </c>
      <c r="H24" s="368">
        <v>0.1</v>
      </c>
      <c r="I24" s="368">
        <f>5/E24</f>
        <v>0.33333333333333331</v>
      </c>
      <c r="J24" s="275"/>
      <c r="K24" s="275"/>
      <c r="L24" s="376">
        <f>+H24+I24+J24+K24</f>
        <v>0.43333333333333335</v>
      </c>
      <c r="M24" s="376">
        <f>8*B24/E24</f>
        <v>0.16</v>
      </c>
      <c r="N24" s="275"/>
      <c r="O24" s="275"/>
      <c r="P24" s="275"/>
      <c r="Q24" s="275"/>
      <c r="R24" s="275"/>
    </row>
    <row r="25" spans="1:18" ht="39.75" customHeight="1" x14ac:dyDescent="0.25">
      <c r="A25" s="295"/>
      <c r="B25" s="279"/>
      <c r="C25" s="276"/>
      <c r="D25" s="10" t="s">
        <v>46</v>
      </c>
      <c r="E25" s="276"/>
      <c r="F25" s="276"/>
      <c r="G25" s="276"/>
      <c r="H25" s="371"/>
      <c r="I25" s="371"/>
      <c r="J25" s="276"/>
      <c r="K25" s="276"/>
      <c r="L25" s="377"/>
      <c r="M25" s="377"/>
      <c r="N25" s="276"/>
      <c r="O25" s="276"/>
      <c r="P25" s="276"/>
      <c r="Q25" s="276"/>
      <c r="R25" s="276"/>
    </row>
    <row r="26" spans="1:18" ht="39" customHeight="1" x14ac:dyDescent="0.25">
      <c r="A26" s="296"/>
      <c r="B26" s="280"/>
      <c r="C26" s="277"/>
      <c r="D26" s="10" t="s">
        <v>47</v>
      </c>
      <c r="E26" s="277"/>
      <c r="F26" s="277"/>
      <c r="G26" s="277"/>
      <c r="H26" s="372"/>
      <c r="I26" s="372"/>
      <c r="J26" s="277"/>
      <c r="K26" s="277"/>
      <c r="L26" s="378"/>
      <c r="M26" s="378"/>
      <c r="N26" s="277"/>
      <c r="O26" s="277"/>
      <c r="P26" s="277"/>
      <c r="Q26" s="277"/>
      <c r="R26" s="277"/>
    </row>
    <row r="27" spans="1:18" ht="33.75" customHeight="1" x14ac:dyDescent="0.25">
      <c r="A27" s="19" t="s">
        <v>48</v>
      </c>
      <c r="B27" s="89">
        <f>SUM(B17:B26)</f>
        <v>1</v>
      </c>
      <c r="C27" s="89"/>
      <c r="D27" s="5"/>
      <c r="E27" s="5"/>
      <c r="F27" s="5"/>
      <c r="G27" s="10"/>
      <c r="H27" s="89">
        <f>SUM(H18:H26)</f>
        <v>0.43000000000000005</v>
      </c>
      <c r="I27" s="89">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303"/>
      <c r="E29" s="304"/>
      <c r="F29" s="379"/>
      <c r="G29" s="380"/>
      <c r="H29" s="381"/>
      <c r="I29" s="21"/>
      <c r="J29" s="21"/>
      <c r="K29" s="21"/>
      <c r="L29" s="21"/>
      <c r="M29" s="21"/>
      <c r="N29" s="21"/>
      <c r="O29" s="21"/>
      <c r="P29" s="21"/>
      <c r="Q29" s="21"/>
      <c r="R29" s="21"/>
    </row>
    <row r="30" spans="1:18" ht="15.75" thickBot="1" x14ac:dyDescent="0.3">
      <c r="A30" s="12"/>
      <c r="D30" s="301" t="s">
        <v>49</v>
      </c>
      <c r="E30" s="302"/>
      <c r="F30" s="92"/>
      <c r="G30" s="302" t="s">
        <v>50</v>
      </c>
      <c r="H30" s="305"/>
      <c r="I30" s="22"/>
      <c r="J30" s="22"/>
      <c r="K30" s="22"/>
      <c r="L30" s="22"/>
      <c r="M30" s="22"/>
      <c r="N30" s="22"/>
      <c r="O30" s="22"/>
      <c r="P30" s="22"/>
      <c r="Q30" s="22"/>
      <c r="R30" s="22"/>
    </row>
    <row r="31" spans="1:18" ht="15.75" thickBot="1" x14ac:dyDescent="0.3">
      <c r="A31" s="12"/>
    </row>
    <row r="32" spans="1:18" ht="15.75" thickBot="1" x14ac:dyDescent="0.3">
      <c r="A32" s="12"/>
      <c r="B32" s="382" t="s">
        <v>127</v>
      </c>
      <c r="C32" s="363"/>
      <c r="D32" s="363"/>
      <c r="E32" s="363"/>
      <c r="F32" s="363"/>
      <c r="G32" s="363"/>
      <c r="H32" s="36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74" t="s">
        <v>101</v>
      </c>
      <c r="C2" s="274"/>
      <c r="D2" s="274"/>
      <c r="E2" s="274"/>
      <c r="F2" s="359"/>
      <c r="G2" s="359"/>
      <c r="H2" s="359"/>
      <c r="I2" s="359"/>
      <c r="J2" s="359"/>
      <c r="K2" s="359"/>
      <c r="L2" s="359"/>
      <c r="M2" s="359"/>
      <c r="N2" s="359"/>
      <c r="O2" s="359"/>
      <c r="P2" s="359"/>
      <c r="Q2" s="359"/>
      <c r="R2" s="359"/>
    </row>
    <row r="3" spans="1:18" x14ac:dyDescent="0.25">
      <c r="B3" s="290" t="s">
        <v>1</v>
      </c>
      <c r="C3" s="290"/>
      <c r="D3" s="290"/>
      <c r="E3" s="29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4" t="s">
        <v>103</v>
      </c>
      <c r="D9" s="5" t="s">
        <v>104</v>
      </c>
      <c r="G9" s="7"/>
    </row>
    <row r="10" spans="1:18" x14ac:dyDescent="0.25">
      <c r="C10" s="284"/>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60" t="s">
        <v>14</v>
      </c>
      <c r="B15" s="361"/>
      <c r="C15" s="361"/>
      <c r="D15" s="361"/>
      <c r="E15" s="361"/>
      <c r="F15" s="361"/>
      <c r="G15" s="361"/>
      <c r="H15" s="362" t="s">
        <v>107</v>
      </c>
      <c r="I15" s="363"/>
      <c r="J15" s="363"/>
      <c r="K15" s="363"/>
      <c r="L15" s="363"/>
      <c r="M15" s="363"/>
      <c r="N15" s="363"/>
      <c r="O15" s="363"/>
      <c r="P15" s="363"/>
      <c r="Q15" s="363"/>
      <c r="R15" s="364"/>
    </row>
    <row r="16" spans="1:18" ht="28.5" customHeight="1" x14ac:dyDescent="0.25">
      <c r="A16" s="90" t="s">
        <v>17</v>
      </c>
      <c r="B16" s="90" t="s">
        <v>18</v>
      </c>
      <c r="C16" s="94" t="s">
        <v>19</v>
      </c>
      <c r="D16" s="90" t="s">
        <v>20</v>
      </c>
      <c r="E16" s="90" t="s">
        <v>108</v>
      </c>
      <c r="F16" s="90" t="s">
        <v>22</v>
      </c>
      <c r="G16" s="32" t="s">
        <v>23</v>
      </c>
      <c r="H16" s="354" t="s">
        <v>109</v>
      </c>
      <c r="I16" s="355"/>
      <c r="J16" s="355"/>
      <c r="K16" s="356"/>
      <c r="L16" s="90" t="s">
        <v>110</v>
      </c>
      <c r="M16" s="357" t="s">
        <v>111</v>
      </c>
      <c r="N16" s="295" t="s">
        <v>112</v>
      </c>
      <c r="O16" s="354" t="s">
        <v>113</v>
      </c>
      <c r="P16" s="356"/>
      <c r="Q16" s="354" t="s">
        <v>16</v>
      </c>
      <c r="R16" s="356"/>
    </row>
    <row r="17" spans="1:18" ht="30" customHeight="1" x14ac:dyDescent="0.25">
      <c r="A17" s="288" t="s">
        <v>26</v>
      </c>
      <c r="B17" s="289">
        <v>0.3</v>
      </c>
      <c r="C17" s="275" t="s">
        <v>27</v>
      </c>
      <c r="D17" s="9" t="s">
        <v>28</v>
      </c>
      <c r="E17" s="275">
        <v>4</v>
      </c>
      <c r="F17" s="275" t="s">
        <v>29</v>
      </c>
      <c r="G17" s="281" t="s">
        <v>30</v>
      </c>
      <c r="H17" s="88" t="s">
        <v>114</v>
      </c>
      <c r="I17" s="88" t="s">
        <v>115</v>
      </c>
      <c r="J17" s="88" t="s">
        <v>116</v>
      </c>
      <c r="K17" s="88" t="s">
        <v>117</v>
      </c>
      <c r="L17" s="8" t="s">
        <v>118</v>
      </c>
      <c r="M17" s="358"/>
      <c r="N17" s="296"/>
      <c r="O17" s="19" t="s">
        <v>119</v>
      </c>
      <c r="P17" s="19" t="s">
        <v>120</v>
      </c>
      <c r="Q17" s="19" t="s">
        <v>24</v>
      </c>
      <c r="R17" s="19" t="s">
        <v>25</v>
      </c>
    </row>
    <row r="18" spans="1:18" ht="45" customHeight="1" x14ac:dyDescent="0.25">
      <c r="A18" s="288"/>
      <c r="B18" s="288"/>
      <c r="C18" s="276"/>
      <c r="D18" s="10" t="s">
        <v>31</v>
      </c>
      <c r="E18" s="276"/>
      <c r="F18" s="276"/>
      <c r="G18" s="281"/>
      <c r="H18" s="368">
        <f>1/E17</f>
        <v>0.25</v>
      </c>
      <c r="I18" s="368">
        <f>+'Seguimiento 2'!I18:I20</f>
        <v>0.25</v>
      </c>
      <c r="J18" s="368">
        <f>2/E17</f>
        <v>0.5</v>
      </c>
      <c r="K18" s="368"/>
      <c r="L18" s="365">
        <f>+H18+I18+J18</f>
        <v>1</v>
      </c>
      <c r="M18" s="365">
        <f>4*B17/E17</f>
        <v>0.3</v>
      </c>
      <c r="N18" s="373" t="s">
        <v>121</v>
      </c>
      <c r="O18" s="373" t="s">
        <v>122</v>
      </c>
      <c r="P18" s="275" t="s">
        <v>123</v>
      </c>
      <c r="Q18" s="373" t="s">
        <v>124</v>
      </c>
      <c r="R18" s="275"/>
    </row>
    <row r="19" spans="1:18" ht="35.25" customHeight="1" x14ac:dyDescent="0.25">
      <c r="A19" s="288"/>
      <c r="B19" s="288"/>
      <c r="C19" s="276"/>
      <c r="D19" s="10" t="s">
        <v>32</v>
      </c>
      <c r="E19" s="276"/>
      <c r="F19" s="276"/>
      <c r="G19" s="281"/>
      <c r="H19" s="371"/>
      <c r="I19" s="371"/>
      <c r="J19" s="371"/>
      <c r="K19" s="371"/>
      <c r="L19" s="366"/>
      <c r="M19" s="366"/>
      <c r="N19" s="374"/>
      <c r="O19" s="374"/>
      <c r="P19" s="276"/>
      <c r="Q19" s="374"/>
      <c r="R19" s="276"/>
    </row>
    <row r="20" spans="1:18" ht="39.75" customHeight="1" x14ac:dyDescent="0.25">
      <c r="A20" s="288"/>
      <c r="B20" s="288"/>
      <c r="C20" s="277"/>
      <c r="D20" s="10" t="s">
        <v>33</v>
      </c>
      <c r="E20" s="277"/>
      <c r="F20" s="277"/>
      <c r="G20" s="281"/>
      <c r="H20" s="372"/>
      <c r="I20" s="372"/>
      <c r="J20" s="372"/>
      <c r="K20" s="372"/>
      <c r="L20" s="367"/>
      <c r="M20" s="367"/>
      <c r="N20" s="375"/>
      <c r="O20" s="375"/>
      <c r="P20" s="277"/>
      <c r="Q20" s="375"/>
      <c r="R20" s="277"/>
    </row>
    <row r="21" spans="1:18" ht="56.25" customHeight="1" x14ac:dyDescent="0.25">
      <c r="A21" s="294" t="s">
        <v>34</v>
      </c>
      <c r="B21" s="278">
        <v>0.4</v>
      </c>
      <c r="C21" s="275" t="s">
        <v>35</v>
      </c>
      <c r="D21" s="10" t="s">
        <v>125</v>
      </c>
      <c r="E21" s="275">
        <v>20</v>
      </c>
      <c r="F21" s="275" t="s">
        <v>37</v>
      </c>
      <c r="G21" s="275" t="s">
        <v>126</v>
      </c>
      <c r="H21" s="368">
        <f>7/25</f>
        <v>0.28000000000000003</v>
      </c>
      <c r="I21" s="376">
        <f>+'Seguimiento 2'!I21:I23</f>
        <v>0.35</v>
      </c>
      <c r="J21" s="368">
        <f>5/E21</f>
        <v>0.25</v>
      </c>
      <c r="K21" s="275"/>
      <c r="L21" s="376">
        <f>+H21+I21+J21+K21</f>
        <v>0.88</v>
      </c>
      <c r="M21" s="376">
        <f>+L21*B21</f>
        <v>0.35200000000000004</v>
      </c>
      <c r="N21" s="275"/>
      <c r="O21" s="275"/>
      <c r="P21" s="275"/>
      <c r="Q21" s="275"/>
      <c r="R21" s="275"/>
    </row>
    <row r="22" spans="1:18" ht="47.25" customHeight="1" x14ac:dyDescent="0.25">
      <c r="A22" s="295"/>
      <c r="B22" s="279"/>
      <c r="C22" s="276"/>
      <c r="D22" s="10" t="s">
        <v>39</v>
      </c>
      <c r="E22" s="276"/>
      <c r="F22" s="276"/>
      <c r="G22" s="276"/>
      <c r="H22" s="371"/>
      <c r="I22" s="276"/>
      <c r="J22" s="371"/>
      <c r="K22" s="276"/>
      <c r="L22" s="377"/>
      <c r="M22" s="377"/>
      <c r="N22" s="276"/>
      <c r="O22" s="276"/>
      <c r="P22" s="276"/>
      <c r="Q22" s="276"/>
      <c r="R22" s="276"/>
    </row>
    <row r="23" spans="1:18" ht="57" customHeight="1" x14ac:dyDescent="0.25">
      <c r="A23" s="296"/>
      <c r="B23" s="280"/>
      <c r="C23" s="277"/>
      <c r="D23" s="10" t="s">
        <v>41</v>
      </c>
      <c r="E23" s="276"/>
      <c r="F23" s="277"/>
      <c r="G23" s="277"/>
      <c r="H23" s="372"/>
      <c r="I23" s="277"/>
      <c r="J23" s="372"/>
      <c r="K23" s="277"/>
      <c r="L23" s="378"/>
      <c r="M23" s="378"/>
      <c r="N23" s="277"/>
      <c r="O23" s="277"/>
      <c r="P23" s="277"/>
      <c r="Q23" s="277"/>
      <c r="R23" s="277"/>
    </row>
    <row r="24" spans="1:18" ht="55.5" customHeight="1" x14ac:dyDescent="0.25">
      <c r="A24" s="294" t="s">
        <v>43</v>
      </c>
      <c r="B24" s="278">
        <v>0.3</v>
      </c>
      <c r="C24" s="275" t="s">
        <v>44</v>
      </c>
      <c r="D24" s="10" t="s">
        <v>45</v>
      </c>
      <c r="E24" s="275">
        <v>15</v>
      </c>
      <c r="F24" s="275" t="s">
        <v>29</v>
      </c>
      <c r="G24" s="275" t="s">
        <v>42</v>
      </c>
      <c r="H24" s="368">
        <f>3/30</f>
        <v>0.1</v>
      </c>
      <c r="I24" s="376">
        <f>+'Seguimiento 2'!I24:I26</f>
        <v>0.33333333333333331</v>
      </c>
      <c r="J24" s="368">
        <f>6/E24</f>
        <v>0.4</v>
      </c>
      <c r="K24" s="275"/>
      <c r="L24" s="376">
        <f>+H24+I24+J24+K24</f>
        <v>0.83333333333333337</v>
      </c>
      <c r="M24" s="376">
        <f>14*B24/E24</f>
        <v>0.28000000000000003</v>
      </c>
      <c r="N24" s="275"/>
      <c r="O24" s="275"/>
      <c r="P24" s="275"/>
      <c r="Q24" s="275"/>
      <c r="R24" s="275"/>
    </row>
    <row r="25" spans="1:18" ht="39.75" customHeight="1" x14ac:dyDescent="0.25">
      <c r="A25" s="295"/>
      <c r="B25" s="279"/>
      <c r="C25" s="276"/>
      <c r="D25" s="10" t="s">
        <v>46</v>
      </c>
      <c r="E25" s="276"/>
      <c r="F25" s="276"/>
      <c r="G25" s="276"/>
      <c r="H25" s="371"/>
      <c r="I25" s="276"/>
      <c r="J25" s="371"/>
      <c r="K25" s="276"/>
      <c r="L25" s="377"/>
      <c r="M25" s="377"/>
      <c r="N25" s="276"/>
      <c r="O25" s="276"/>
      <c r="P25" s="276"/>
      <c r="Q25" s="276"/>
      <c r="R25" s="276"/>
    </row>
    <row r="26" spans="1:18" ht="39" customHeight="1" x14ac:dyDescent="0.25">
      <c r="A26" s="296"/>
      <c r="B26" s="280"/>
      <c r="C26" s="277"/>
      <c r="D26" s="10" t="s">
        <v>47</v>
      </c>
      <c r="E26" s="277"/>
      <c r="F26" s="277"/>
      <c r="G26" s="277"/>
      <c r="H26" s="372"/>
      <c r="I26" s="277"/>
      <c r="J26" s="372"/>
      <c r="K26" s="277"/>
      <c r="L26" s="378"/>
      <c r="M26" s="378"/>
      <c r="N26" s="277"/>
      <c r="O26" s="277"/>
      <c r="P26" s="277"/>
      <c r="Q26" s="277"/>
      <c r="R26" s="277"/>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303"/>
      <c r="E29" s="304"/>
      <c r="F29" s="379"/>
      <c r="G29" s="380"/>
      <c r="H29" s="381"/>
      <c r="I29" s="21"/>
      <c r="J29" s="21"/>
      <c r="K29" s="21"/>
      <c r="L29" s="21"/>
      <c r="M29" s="21"/>
      <c r="N29" s="21"/>
      <c r="O29" s="21"/>
      <c r="P29" s="21"/>
      <c r="Q29" s="21"/>
      <c r="R29" s="21"/>
    </row>
    <row r="30" spans="1:18" ht="15.75" thickBot="1" x14ac:dyDescent="0.3">
      <c r="A30" s="12"/>
      <c r="D30" s="301" t="s">
        <v>49</v>
      </c>
      <c r="E30" s="302"/>
      <c r="F30" s="92"/>
      <c r="G30" s="302" t="s">
        <v>50</v>
      </c>
      <c r="H30" s="305"/>
      <c r="I30" s="22"/>
      <c r="J30" s="22"/>
      <c r="K30" s="22"/>
      <c r="L30" s="22"/>
      <c r="M30" s="22"/>
      <c r="N30" s="22"/>
      <c r="O30" s="22"/>
      <c r="P30" s="22"/>
      <c r="Q30" s="22"/>
      <c r="R30" s="22"/>
    </row>
    <row r="31" spans="1:18" ht="15.75" thickBot="1" x14ac:dyDescent="0.3">
      <c r="A31" s="12"/>
    </row>
    <row r="32" spans="1:18" ht="15.75" thickBot="1" x14ac:dyDescent="0.3">
      <c r="A32" s="12"/>
      <c r="B32" s="382" t="s">
        <v>127</v>
      </c>
      <c r="C32" s="363"/>
      <c r="D32" s="363"/>
      <c r="E32" s="363"/>
      <c r="F32" s="363"/>
      <c r="G32" s="363"/>
      <c r="H32" s="36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74" t="s">
        <v>101</v>
      </c>
      <c r="C2" s="274"/>
      <c r="D2" s="274"/>
      <c r="E2" s="274"/>
      <c r="F2" s="359"/>
      <c r="G2" s="359"/>
      <c r="H2" s="359"/>
      <c r="I2" s="359"/>
      <c r="J2" s="359"/>
      <c r="K2" s="359"/>
      <c r="L2" s="359"/>
      <c r="M2" s="359"/>
      <c r="N2" s="359"/>
      <c r="O2" s="359"/>
      <c r="P2" s="359"/>
      <c r="Q2" s="359"/>
      <c r="R2" s="359"/>
    </row>
    <row r="3" spans="1:18" x14ac:dyDescent="0.25">
      <c r="B3" s="290" t="s">
        <v>1</v>
      </c>
      <c r="C3" s="290"/>
      <c r="D3" s="290"/>
      <c r="E3" s="29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4" t="s">
        <v>103</v>
      </c>
      <c r="D9" s="5" t="s">
        <v>104</v>
      </c>
      <c r="G9" s="7"/>
    </row>
    <row r="10" spans="1:18" x14ac:dyDescent="0.25">
      <c r="C10" s="284"/>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60" t="s">
        <v>14</v>
      </c>
      <c r="B15" s="361"/>
      <c r="C15" s="361"/>
      <c r="D15" s="361"/>
      <c r="E15" s="361"/>
      <c r="F15" s="361"/>
      <c r="G15" s="361"/>
      <c r="H15" s="362" t="s">
        <v>107</v>
      </c>
      <c r="I15" s="363"/>
      <c r="J15" s="363"/>
      <c r="K15" s="363"/>
      <c r="L15" s="363"/>
      <c r="M15" s="363"/>
      <c r="N15" s="363"/>
      <c r="O15" s="363"/>
      <c r="P15" s="363"/>
      <c r="Q15" s="363"/>
      <c r="R15" s="364"/>
    </row>
    <row r="16" spans="1:18" ht="28.5" customHeight="1" x14ac:dyDescent="0.25">
      <c r="A16" s="90" t="s">
        <v>17</v>
      </c>
      <c r="B16" s="90" t="s">
        <v>18</v>
      </c>
      <c r="C16" s="94" t="s">
        <v>19</v>
      </c>
      <c r="D16" s="90" t="s">
        <v>20</v>
      </c>
      <c r="E16" s="90" t="s">
        <v>108</v>
      </c>
      <c r="F16" s="90" t="s">
        <v>22</v>
      </c>
      <c r="G16" s="32" t="s">
        <v>23</v>
      </c>
      <c r="H16" s="354" t="s">
        <v>109</v>
      </c>
      <c r="I16" s="355"/>
      <c r="J16" s="355"/>
      <c r="K16" s="356"/>
      <c r="L16" s="90" t="s">
        <v>110</v>
      </c>
      <c r="M16" s="357" t="s">
        <v>111</v>
      </c>
      <c r="N16" s="295" t="s">
        <v>112</v>
      </c>
      <c r="O16" s="354" t="s">
        <v>113</v>
      </c>
      <c r="P16" s="356"/>
      <c r="Q16" s="354" t="s">
        <v>16</v>
      </c>
      <c r="R16" s="356"/>
    </row>
    <row r="17" spans="1:18" ht="30" customHeight="1" x14ac:dyDescent="0.25">
      <c r="A17" s="288" t="s">
        <v>26</v>
      </c>
      <c r="B17" s="289">
        <v>0.3</v>
      </c>
      <c r="C17" s="275" t="s">
        <v>27</v>
      </c>
      <c r="D17" s="9" t="s">
        <v>28</v>
      </c>
      <c r="E17" s="275">
        <v>4</v>
      </c>
      <c r="F17" s="275" t="s">
        <v>29</v>
      </c>
      <c r="G17" s="281" t="s">
        <v>30</v>
      </c>
      <c r="H17" s="88" t="s">
        <v>114</v>
      </c>
      <c r="I17" s="88" t="s">
        <v>115</v>
      </c>
      <c r="J17" s="88" t="s">
        <v>116</v>
      </c>
      <c r="K17" s="88" t="s">
        <v>117</v>
      </c>
      <c r="L17" s="8" t="s">
        <v>118</v>
      </c>
      <c r="M17" s="358"/>
      <c r="N17" s="296"/>
      <c r="O17" s="19" t="s">
        <v>119</v>
      </c>
      <c r="P17" s="19" t="s">
        <v>120</v>
      </c>
      <c r="Q17" s="19" t="s">
        <v>24</v>
      </c>
      <c r="R17" s="19" t="s">
        <v>25</v>
      </c>
    </row>
    <row r="18" spans="1:18" ht="45" customHeight="1" x14ac:dyDescent="0.25">
      <c r="A18" s="288"/>
      <c r="B18" s="288"/>
      <c r="C18" s="276"/>
      <c r="D18" s="10" t="s">
        <v>31</v>
      </c>
      <c r="E18" s="276"/>
      <c r="F18" s="276"/>
      <c r="G18" s="281"/>
      <c r="H18" s="368">
        <f>1/E17</f>
        <v>0.25</v>
      </c>
      <c r="I18" s="368">
        <f>+'Seguimiento 2'!I18:I20</f>
        <v>0.25</v>
      </c>
      <c r="J18" s="368">
        <f>+'Seguimiento 3'!J18:J20</f>
        <v>0.5</v>
      </c>
      <c r="K18" s="368">
        <v>0</v>
      </c>
      <c r="L18" s="365">
        <f>+H18+I18+J18+K18</f>
        <v>1</v>
      </c>
      <c r="M18" s="365">
        <f>4*B17/E17</f>
        <v>0.3</v>
      </c>
      <c r="N18" s="373" t="s">
        <v>121</v>
      </c>
      <c r="O18" s="373" t="s">
        <v>122</v>
      </c>
      <c r="P18" s="275" t="s">
        <v>123</v>
      </c>
      <c r="Q18" s="373" t="s">
        <v>124</v>
      </c>
      <c r="R18" s="275"/>
    </row>
    <row r="19" spans="1:18" ht="35.25" customHeight="1" x14ac:dyDescent="0.25">
      <c r="A19" s="288"/>
      <c r="B19" s="288"/>
      <c r="C19" s="276"/>
      <c r="D19" s="10" t="s">
        <v>32</v>
      </c>
      <c r="E19" s="276"/>
      <c r="F19" s="276"/>
      <c r="G19" s="281"/>
      <c r="H19" s="371"/>
      <c r="I19" s="371"/>
      <c r="J19" s="371"/>
      <c r="K19" s="371"/>
      <c r="L19" s="366"/>
      <c r="M19" s="366"/>
      <c r="N19" s="374"/>
      <c r="O19" s="374"/>
      <c r="P19" s="276"/>
      <c r="Q19" s="374"/>
      <c r="R19" s="276"/>
    </row>
    <row r="20" spans="1:18" ht="39.75" customHeight="1" x14ac:dyDescent="0.25">
      <c r="A20" s="288"/>
      <c r="B20" s="288"/>
      <c r="C20" s="277"/>
      <c r="D20" s="10" t="s">
        <v>33</v>
      </c>
      <c r="E20" s="277"/>
      <c r="F20" s="277"/>
      <c r="G20" s="281"/>
      <c r="H20" s="372"/>
      <c r="I20" s="372"/>
      <c r="J20" s="372"/>
      <c r="K20" s="372"/>
      <c r="L20" s="367"/>
      <c r="M20" s="367"/>
      <c r="N20" s="375"/>
      <c r="O20" s="375"/>
      <c r="P20" s="277"/>
      <c r="Q20" s="375"/>
      <c r="R20" s="277"/>
    </row>
    <row r="21" spans="1:18" ht="56.25" customHeight="1" x14ac:dyDescent="0.25">
      <c r="A21" s="294" t="s">
        <v>34</v>
      </c>
      <c r="B21" s="278">
        <v>0.4</v>
      </c>
      <c r="C21" s="275" t="s">
        <v>35</v>
      </c>
      <c r="D21" s="10" t="s">
        <v>125</v>
      </c>
      <c r="E21" s="275">
        <v>20</v>
      </c>
      <c r="F21" s="275" t="s">
        <v>37</v>
      </c>
      <c r="G21" s="275" t="s">
        <v>126</v>
      </c>
      <c r="H21" s="368">
        <f>7/25</f>
        <v>0.28000000000000003</v>
      </c>
      <c r="I21" s="376">
        <f>+'Seguimiento 2'!I21:I23</f>
        <v>0.35</v>
      </c>
      <c r="J21" s="376">
        <f>+'Seguimiento 3'!J21:J23</f>
        <v>0.25</v>
      </c>
      <c r="K21" s="368">
        <f>8/E21</f>
        <v>0.4</v>
      </c>
      <c r="L21" s="376">
        <f>+H21+I21+J21+K21</f>
        <v>1.28</v>
      </c>
      <c r="M21" s="376">
        <f>22*B21/E21</f>
        <v>0.44000000000000006</v>
      </c>
      <c r="N21" s="275"/>
      <c r="O21" s="275"/>
      <c r="P21" s="275"/>
      <c r="Q21" s="275"/>
      <c r="R21" s="298"/>
    </row>
    <row r="22" spans="1:18" ht="47.25" customHeight="1" x14ac:dyDescent="0.25">
      <c r="A22" s="295"/>
      <c r="B22" s="279"/>
      <c r="C22" s="276"/>
      <c r="D22" s="10" t="s">
        <v>39</v>
      </c>
      <c r="E22" s="276"/>
      <c r="F22" s="276"/>
      <c r="G22" s="276"/>
      <c r="H22" s="371"/>
      <c r="I22" s="276"/>
      <c r="J22" s="276"/>
      <c r="K22" s="371"/>
      <c r="L22" s="377"/>
      <c r="M22" s="377"/>
      <c r="N22" s="276"/>
      <c r="O22" s="276"/>
      <c r="P22" s="276"/>
      <c r="Q22" s="276"/>
      <c r="R22" s="299"/>
    </row>
    <row r="23" spans="1:18" ht="57" customHeight="1" x14ac:dyDescent="0.25">
      <c r="A23" s="296"/>
      <c r="B23" s="280"/>
      <c r="C23" s="277"/>
      <c r="D23" s="10" t="s">
        <v>41</v>
      </c>
      <c r="E23" s="276"/>
      <c r="F23" s="277"/>
      <c r="G23" s="277"/>
      <c r="H23" s="372"/>
      <c r="I23" s="277"/>
      <c r="J23" s="277"/>
      <c r="K23" s="372"/>
      <c r="L23" s="378"/>
      <c r="M23" s="378"/>
      <c r="N23" s="277"/>
      <c r="O23" s="277"/>
      <c r="P23" s="277"/>
      <c r="Q23" s="277"/>
      <c r="R23" s="300"/>
    </row>
    <row r="24" spans="1:18" ht="55.5" customHeight="1" x14ac:dyDescent="0.25">
      <c r="A24" s="294" t="s">
        <v>43</v>
      </c>
      <c r="B24" s="278">
        <v>0.3</v>
      </c>
      <c r="C24" s="275" t="s">
        <v>44</v>
      </c>
      <c r="D24" s="10" t="s">
        <v>45</v>
      </c>
      <c r="E24" s="275">
        <v>15</v>
      </c>
      <c r="F24" s="275" t="s">
        <v>29</v>
      </c>
      <c r="G24" s="275" t="s">
        <v>42</v>
      </c>
      <c r="H24" s="368">
        <f>3/30</f>
        <v>0.1</v>
      </c>
      <c r="I24" s="376">
        <f>+'Seguimiento 2'!I24:I26</f>
        <v>0.33333333333333331</v>
      </c>
      <c r="J24" s="376">
        <f>+'Seguimiento 3'!J24:J26</f>
        <v>0.4</v>
      </c>
      <c r="K24" s="368">
        <f>1/E24</f>
        <v>6.6666666666666666E-2</v>
      </c>
      <c r="L24" s="376">
        <f>+H24+I24+J24+K24</f>
        <v>0.9</v>
      </c>
      <c r="M24" s="376">
        <f>15*B24/E24</f>
        <v>0.3</v>
      </c>
      <c r="N24" s="275"/>
      <c r="O24" s="275"/>
      <c r="P24" s="275"/>
      <c r="Q24" s="275"/>
      <c r="R24" s="275"/>
    </row>
    <row r="25" spans="1:18" ht="39.75" customHeight="1" x14ac:dyDescent="0.25">
      <c r="A25" s="295"/>
      <c r="B25" s="279"/>
      <c r="C25" s="276"/>
      <c r="D25" s="10" t="s">
        <v>46</v>
      </c>
      <c r="E25" s="276"/>
      <c r="F25" s="276"/>
      <c r="G25" s="276"/>
      <c r="H25" s="371"/>
      <c r="I25" s="276"/>
      <c r="J25" s="276"/>
      <c r="K25" s="371"/>
      <c r="L25" s="377"/>
      <c r="M25" s="377"/>
      <c r="N25" s="276"/>
      <c r="O25" s="276"/>
      <c r="P25" s="276"/>
      <c r="Q25" s="276"/>
      <c r="R25" s="276"/>
    </row>
    <row r="26" spans="1:18" ht="39" customHeight="1" x14ac:dyDescent="0.25">
      <c r="A26" s="296"/>
      <c r="B26" s="280"/>
      <c r="C26" s="277"/>
      <c r="D26" s="10" t="s">
        <v>47</v>
      </c>
      <c r="E26" s="277"/>
      <c r="F26" s="277"/>
      <c r="G26" s="277"/>
      <c r="H26" s="372"/>
      <c r="I26" s="277"/>
      <c r="J26" s="277"/>
      <c r="K26" s="372"/>
      <c r="L26" s="378"/>
      <c r="M26" s="378"/>
      <c r="N26" s="277"/>
      <c r="O26" s="277"/>
      <c r="P26" s="277"/>
      <c r="Q26" s="277"/>
      <c r="R26" s="277"/>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89">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303"/>
      <c r="E29" s="304"/>
      <c r="F29" s="379"/>
      <c r="G29" s="380"/>
      <c r="H29" s="381"/>
      <c r="I29" s="21"/>
      <c r="J29" s="21"/>
      <c r="K29" s="21"/>
      <c r="L29" s="21"/>
      <c r="M29" s="21"/>
      <c r="N29" s="21"/>
      <c r="O29" s="21"/>
      <c r="P29" s="21"/>
      <c r="Q29" s="21"/>
      <c r="R29" s="21"/>
    </row>
    <row r="30" spans="1:18" ht="15.75" thickBot="1" x14ac:dyDescent="0.3">
      <c r="A30" s="12"/>
      <c r="D30" s="301" t="s">
        <v>49</v>
      </c>
      <c r="E30" s="302"/>
      <c r="F30" s="92"/>
      <c r="G30" s="302" t="s">
        <v>50</v>
      </c>
      <c r="H30" s="305"/>
      <c r="I30" s="22"/>
      <c r="J30" s="22"/>
      <c r="K30" s="22"/>
      <c r="L30" s="22"/>
      <c r="M30" s="22"/>
      <c r="N30" s="22"/>
      <c r="O30" s="22"/>
      <c r="P30" s="22"/>
      <c r="Q30" s="22"/>
      <c r="R30" s="22"/>
    </row>
    <row r="31" spans="1:18" ht="15.75" thickBot="1" x14ac:dyDescent="0.3">
      <c r="A31" s="12"/>
    </row>
    <row r="32" spans="1:18" ht="15.75" thickBot="1" x14ac:dyDescent="0.3">
      <c r="A32" s="12"/>
      <c r="B32" s="382" t="s">
        <v>127</v>
      </c>
      <c r="C32" s="363"/>
      <c r="D32" s="363"/>
      <c r="E32" s="363"/>
      <c r="F32" s="363"/>
      <c r="G32" s="363"/>
      <c r="H32" s="36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74" t="s">
        <v>101</v>
      </c>
      <c r="C2" s="274"/>
      <c r="D2" s="274"/>
      <c r="E2" s="274"/>
      <c r="F2" s="359"/>
      <c r="G2" s="359"/>
      <c r="H2" s="359"/>
      <c r="I2" s="359"/>
      <c r="J2" s="359"/>
      <c r="K2" s="359"/>
      <c r="L2" s="359"/>
      <c r="M2" s="359"/>
    </row>
    <row r="3" spans="1:13" ht="15.75" thickBot="1" x14ac:dyDescent="0.3"/>
    <row r="4" spans="1:13" ht="15.75" thickBot="1" x14ac:dyDescent="0.3">
      <c r="A4" s="360" t="s">
        <v>14</v>
      </c>
      <c r="B4" s="361"/>
      <c r="C4" s="361"/>
      <c r="D4" s="361"/>
      <c r="E4" s="361"/>
      <c r="F4" s="361"/>
      <c r="G4" s="361"/>
      <c r="H4" s="362" t="s">
        <v>107</v>
      </c>
      <c r="I4" s="363"/>
      <c r="J4" s="363"/>
      <c r="K4" s="363"/>
      <c r="L4" s="363"/>
      <c r="M4" s="363"/>
    </row>
    <row r="5" spans="1:13" ht="28.5" customHeight="1" x14ac:dyDescent="0.25">
      <c r="A5" s="90" t="s">
        <v>17</v>
      </c>
      <c r="B5" s="90" t="s">
        <v>18</v>
      </c>
      <c r="C5" s="94" t="s">
        <v>19</v>
      </c>
      <c r="D5" s="90" t="s">
        <v>20</v>
      </c>
      <c r="E5" s="90" t="s">
        <v>108</v>
      </c>
      <c r="F5" s="90" t="s">
        <v>22</v>
      </c>
      <c r="G5" s="32" t="s">
        <v>23</v>
      </c>
      <c r="H5" s="354" t="s">
        <v>109</v>
      </c>
      <c r="I5" s="355"/>
      <c r="J5" s="355"/>
      <c r="K5" s="356"/>
      <c r="L5" s="90" t="s">
        <v>110</v>
      </c>
      <c r="M5" s="357" t="s">
        <v>111</v>
      </c>
    </row>
    <row r="6" spans="1:13" ht="30" customHeight="1" x14ac:dyDescent="0.25">
      <c r="A6" s="288" t="s">
        <v>26</v>
      </c>
      <c r="B6" s="289">
        <v>0.3</v>
      </c>
      <c r="C6" s="275" t="s">
        <v>27</v>
      </c>
      <c r="D6" s="9" t="s">
        <v>28</v>
      </c>
      <c r="E6" s="275">
        <v>4</v>
      </c>
      <c r="F6" s="275" t="s">
        <v>29</v>
      </c>
      <c r="G6" s="281" t="s">
        <v>30</v>
      </c>
      <c r="H6" s="88" t="s">
        <v>114</v>
      </c>
      <c r="I6" s="88" t="s">
        <v>115</v>
      </c>
      <c r="J6" s="88" t="s">
        <v>116</v>
      </c>
      <c r="K6" s="88" t="s">
        <v>117</v>
      </c>
      <c r="L6" s="8" t="s">
        <v>118</v>
      </c>
      <c r="M6" s="358"/>
    </row>
    <row r="7" spans="1:13" ht="45" customHeight="1" x14ac:dyDescent="0.25">
      <c r="A7" s="288"/>
      <c r="B7" s="288"/>
      <c r="C7" s="276"/>
      <c r="D7" s="10" t="s">
        <v>31</v>
      </c>
      <c r="E7" s="276"/>
      <c r="F7" s="276"/>
      <c r="G7" s="281"/>
      <c r="H7" s="368">
        <f>1/E6</f>
        <v>0.25</v>
      </c>
      <c r="I7" s="368">
        <v>0.25</v>
      </c>
      <c r="J7" s="368">
        <v>0.5</v>
      </c>
      <c r="K7" s="368">
        <v>0</v>
      </c>
      <c r="L7" s="365">
        <f>+H7+I7+J7+K7</f>
        <v>1</v>
      </c>
      <c r="M7" s="365">
        <f>4*B6/E6</f>
        <v>0.3</v>
      </c>
    </row>
    <row r="8" spans="1:13" ht="35.25" customHeight="1" x14ac:dyDescent="0.25">
      <c r="A8" s="288"/>
      <c r="B8" s="288"/>
      <c r="C8" s="276"/>
      <c r="D8" s="10" t="s">
        <v>32</v>
      </c>
      <c r="E8" s="276"/>
      <c r="F8" s="276"/>
      <c r="G8" s="281"/>
      <c r="H8" s="371"/>
      <c r="I8" s="371"/>
      <c r="J8" s="371"/>
      <c r="K8" s="371"/>
      <c r="L8" s="366"/>
      <c r="M8" s="366"/>
    </row>
    <row r="9" spans="1:13" ht="39.75" customHeight="1" x14ac:dyDescent="0.25">
      <c r="A9" s="288"/>
      <c r="B9" s="288"/>
      <c r="C9" s="277"/>
      <c r="D9" s="10" t="s">
        <v>33</v>
      </c>
      <c r="E9" s="277"/>
      <c r="F9" s="277"/>
      <c r="G9" s="281"/>
      <c r="H9" s="372"/>
      <c r="I9" s="372"/>
      <c r="J9" s="372"/>
      <c r="K9" s="372"/>
      <c r="L9" s="367"/>
      <c r="M9" s="367"/>
    </row>
    <row r="10" spans="1:13" ht="56.25" customHeight="1" x14ac:dyDescent="0.25">
      <c r="A10" s="294" t="s">
        <v>34</v>
      </c>
      <c r="B10" s="278">
        <v>0.4</v>
      </c>
      <c r="C10" s="275" t="s">
        <v>35</v>
      </c>
      <c r="D10" s="10" t="s">
        <v>125</v>
      </c>
      <c r="E10" s="275">
        <v>20</v>
      </c>
      <c r="F10" s="275" t="s">
        <v>37</v>
      </c>
      <c r="G10" s="275" t="s">
        <v>126</v>
      </c>
      <c r="H10" s="368">
        <f>7/25</f>
        <v>0.28000000000000003</v>
      </c>
      <c r="I10" s="376">
        <v>0.35</v>
      </c>
      <c r="J10" s="376">
        <v>0.25</v>
      </c>
      <c r="K10" s="368">
        <f>8/E10</f>
        <v>0.4</v>
      </c>
      <c r="L10" s="376">
        <f>+H10+I10+J10+K10</f>
        <v>1.28</v>
      </c>
      <c r="M10" s="376">
        <f>22*B10/E10</f>
        <v>0.44000000000000006</v>
      </c>
    </row>
    <row r="11" spans="1:13" ht="47.25" customHeight="1" x14ac:dyDescent="0.25">
      <c r="A11" s="295"/>
      <c r="B11" s="279"/>
      <c r="C11" s="276"/>
      <c r="D11" s="10" t="s">
        <v>39</v>
      </c>
      <c r="E11" s="276"/>
      <c r="F11" s="276"/>
      <c r="G11" s="276"/>
      <c r="H11" s="371"/>
      <c r="I11" s="276"/>
      <c r="J11" s="276"/>
      <c r="K11" s="371"/>
      <c r="L11" s="377"/>
      <c r="M11" s="377"/>
    </row>
    <row r="12" spans="1:13" ht="57" customHeight="1" x14ac:dyDescent="0.25">
      <c r="A12" s="296"/>
      <c r="B12" s="280"/>
      <c r="C12" s="277"/>
      <c r="D12" s="10" t="s">
        <v>41</v>
      </c>
      <c r="E12" s="276"/>
      <c r="F12" s="277"/>
      <c r="G12" s="277"/>
      <c r="H12" s="372"/>
      <c r="I12" s="277"/>
      <c r="J12" s="277"/>
      <c r="K12" s="372"/>
      <c r="L12" s="378"/>
      <c r="M12" s="378"/>
    </row>
    <row r="13" spans="1:13" ht="55.5" customHeight="1" x14ac:dyDescent="0.25">
      <c r="A13" s="294" t="s">
        <v>43</v>
      </c>
      <c r="B13" s="278">
        <v>0.3</v>
      </c>
      <c r="C13" s="275" t="s">
        <v>44</v>
      </c>
      <c r="D13" s="10" t="s">
        <v>45</v>
      </c>
      <c r="E13" s="275">
        <v>15</v>
      </c>
      <c r="F13" s="275" t="s">
        <v>29</v>
      </c>
      <c r="G13" s="275" t="s">
        <v>42</v>
      </c>
      <c r="H13" s="368">
        <f>3/30</f>
        <v>0.1</v>
      </c>
      <c r="I13" s="376">
        <v>0.33</v>
      </c>
      <c r="J13" s="376">
        <v>0.4</v>
      </c>
      <c r="K13" s="368">
        <f>1/E13</f>
        <v>6.6666666666666666E-2</v>
      </c>
      <c r="L13" s="376">
        <f>+H13+I13+J13+K13</f>
        <v>0.89666666666666672</v>
      </c>
      <c r="M13" s="376">
        <f>15*B13/E13</f>
        <v>0.3</v>
      </c>
    </row>
    <row r="14" spans="1:13" ht="39.75" customHeight="1" x14ac:dyDescent="0.25">
      <c r="A14" s="295"/>
      <c r="B14" s="279"/>
      <c r="C14" s="276"/>
      <c r="D14" s="10" t="s">
        <v>46</v>
      </c>
      <c r="E14" s="276"/>
      <c r="F14" s="276"/>
      <c r="G14" s="276"/>
      <c r="H14" s="371"/>
      <c r="I14" s="276"/>
      <c r="J14" s="276"/>
      <c r="K14" s="371"/>
      <c r="L14" s="377"/>
      <c r="M14" s="377"/>
    </row>
    <row r="15" spans="1:13" ht="39" customHeight="1" x14ac:dyDescent="0.25">
      <c r="A15" s="296"/>
      <c r="B15" s="280"/>
      <c r="C15" s="277"/>
      <c r="D15" s="10" t="s">
        <v>47</v>
      </c>
      <c r="E15" s="277"/>
      <c r="F15" s="277"/>
      <c r="G15" s="277"/>
      <c r="H15" s="372"/>
      <c r="I15" s="277"/>
      <c r="J15" s="277"/>
      <c r="K15" s="372"/>
      <c r="L15" s="378"/>
      <c r="M15" s="378"/>
    </row>
    <row r="16" spans="1:13" ht="33.75" customHeight="1" x14ac:dyDescent="0.25">
      <c r="A16" s="19" t="s">
        <v>48</v>
      </c>
      <c r="B16" s="89">
        <f>SUM(B6:B15)</f>
        <v>1</v>
      </c>
      <c r="C16" s="89"/>
      <c r="D16" s="5"/>
      <c r="E16" s="5"/>
      <c r="F16" s="5"/>
      <c r="G16" s="10"/>
      <c r="H16" s="89">
        <f>SUM(H7:H15)</f>
        <v>0.63</v>
      </c>
      <c r="I16" s="89">
        <f>SUM(I7:I15)</f>
        <v>0.92999999999999994</v>
      </c>
      <c r="J16" s="89">
        <f>SUM(J7:J15)</f>
        <v>1.1499999999999999</v>
      </c>
      <c r="K16" s="89">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2"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94" t="s">
        <v>145</v>
      </c>
      <c r="C3" s="395"/>
      <c r="D3" s="395"/>
      <c r="E3" s="395"/>
      <c r="F3" s="395"/>
      <c r="G3" s="395"/>
      <c r="H3" s="395"/>
      <c r="I3" s="396"/>
    </row>
    <row r="4" spans="2:9" ht="15.75" thickBot="1" x14ac:dyDescent="0.3">
      <c r="B4" s="392" t="s">
        <v>146</v>
      </c>
      <c r="C4" s="388"/>
      <c r="D4" s="388"/>
      <c r="E4" s="397" t="s">
        <v>147</v>
      </c>
      <c r="F4" s="398"/>
      <c r="G4" s="399"/>
      <c r="H4" s="388" t="s">
        <v>148</v>
      </c>
      <c r="I4" s="389"/>
    </row>
    <row r="5" spans="2:9" ht="15.75" thickBot="1" x14ac:dyDescent="0.3">
      <c r="B5" s="393"/>
      <c r="C5" s="390"/>
      <c r="D5" s="390"/>
      <c r="E5" s="48">
        <v>1</v>
      </c>
      <c r="F5" s="49">
        <v>2</v>
      </c>
      <c r="G5" s="49">
        <v>3</v>
      </c>
      <c r="H5" s="390"/>
      <c r="I5" s="391"/>
    </row>
    <row r="6" spans="2:9" ht="30.75" customHeight="1" x14ac:dyDescent="0.25">
      <c r="B6" s="47">
        <v>1</v>
      </c>
      <c r="C6" s="403" t="s">
        <v>149</v>
      </c>
      <c r="D6" s="403"/>
      <c r="E6" s="50"/>
      <c r="F6" s="50"/>
      <c r="G6" s="50"/>
      <c r="H6" s="400"/>
      <c r="I6" s="401"/>
    </row>
    <row r="7" spans="2:9" ht="39" customHeight="1" x14ac:dyDescent="0.25">
      <c r="B7" s="46">
        <v>2</v>
      </c>
      <c r="C7" s="387" t="s">
        <v>150</v>
      </c>
      <c r="D7" s="387"/>
      <c r="E7" s="44"/>
      <c r="F7" s="44"/>
      <c r="G7" s="44"/>
      <c r="H7" s="385"/>
      <c r="I7" s="386"/>
    </row>
    <row r="8" spans="2:9" ht="30" customHeight="1" x14ac:dyDescent="0.25">
      <c r="B8" s="46">
        <v>3</v>
      </c>
      <c r="C8" s="387" t="s">
        <v>151</v>
      </c>
      <c r="D8" s="387"/>
      <c r="E8" s="44"/>
      <c r="F8" s="44"/>
      <c r="G8" s="44"/>
      <c r="H8" s="385"/>
      <c r="I8" s="386"/>
    </row>
    <row r="9" spans="2:9" ht="34.5" customHeight="1" x14ac:dyDescent="0.25">
      <c r="B9" s="46">
        <v>4</v>
      </c>
      <c r="C9" s="387" t="s">
        <v>152</v>
      </c>
      <c r="D9" s="387"/>
      <c r="E9" s="44"/>
      <c r="F9" s="44"/>
      <c r="G9" s="44"/>
      <c r="H9" s="385"/>
      <c r="I9" s="386"/>
    </row>
    <row r="10" spans="2:9" ht="30.75" customHeight="1" x14ac:dyDescent="0.25">
      <c r="B10" s="46">
        <v>5</v>
      </c>
      <c r="C10" s="387" t="s">
        <v>153</v>
      </c>
      <c r="D10" s="387"/>
      <c r="E10" s="44"/>
      <c r="F10" s="44"/>
      <c r="G10" s="44"/>
      <c r="H10" s="385"/>
      <c r="I10" s="386"/>
    </row>
    <row r="11" spans="2:9" ht="33.75" customHeight="1" x14ac:dyDescent="0.25">
      <c r="B11" s="46">
        <v>6</v>
      </c>
      <c r="C11" s="387" t="s">
        <v>154</v>
      </c>
      <c r="D11" s="387"/>
      <c r="E11" s="44"/>
      <c r="F11" s="44"/>
      <c r="G11" s="44"/>
      <c r="H11" s="385"/>
      <c r="I11" s="386"/>
    </row>
    <row r="12" spans="2:9" ht="25.5" customHeight="1" x14ac:dyDescent="0.25">
      <c r="B12" s="46">
        <v>7</v>
      </c>
      <c r="C12" s="387" t="s">
        <v>155</v>
      </c>
      <c r="D12" s="387"/>
      <c r="E12" s="45"/>
      <c r="F12" s="45"/>
      <c r="G12" s="45"/>
      <c r="H12" s="383"/>
      <c r="I12" s="384"/>
    </row>
    <row r="13" spans="2:9" ht="46.5" customHeight="1" x14ac:dyDescent="0.25">
      <c r="B13" s="46">
        <v>8</v>
      </c>
      <c r="C13" s="387" t="s">
        <v>156</v>
      </c>
      <c r="D13" s="387"/>
      <c r="E13" s="45"/>
      <c r="F13" s="45"/>
      <c r="G13" s="45"/>
      <c r="H13" s="383"/>
      <c r="I13" s="384"/>
    </row>
    <row r="14" spans="2:9" ht="30.75" customHeight="1" x14ac:dyDescent="0.25">
      <c r="B14" s="46">
        <v>9</v>
      </c>
      <c r="C14" s="387" t="s">
        <v>157</v>
      </c>
      <c r="D14" s="387"/>
      <c r="E14" s="45"/>
      <c r="F14" s="45"/>
      <c r="G14" s="45"/>
      <c r="H14" s="383"/>
      <c r="I14" s="384"/>
    </row>
    <row r="15" spans="2:9" x14ac:dyDescent="0.25">
      <c r="B15" s="46">
        <v>10</v>
      </c>
      <c r="C15" s="387"/>
      <c r="D15" s="387"/>
      <c r="E15" s="45"/>
      <c r="F15" s="45"/>
      <c r="G15" s="45"/>
      <c r="H15" s="383"/>
      <c r="I15" s="384"/>
    </row>
    <row r="16" spans="2:9" x14ac:dyDescent="0.25">
      <c r="B16" s="46">
        <v>11</v>
      </c>
      <c r="C16" s="387"/>
      <c r="D16" s="387"/>
      <c r="E16" s="45"/>
      <c r="F16" s="45"/>
      <c r="G16" s="45"/>
      <c r="H16" s="383"/>
      <c r="I16" s="384"/>
    </row>
    <row r="17" spans="2:9" x14ac:dyDescent="0.25">
      <c r="B17" s="46">
        <v>12</v>
      </c>
      <c r="C17" s="387"/>
      <c r="D17" s="387"/>
      <c r="E17" s="45"/>
      <c r="F17" s="45"/>
      <c r="G17" s="45"/>
      <c r="H17" s="383"/>
      <c r="I17" s="384"/>
    </row>
    <row r="18" spans="2:9" ht="15.75" thickBot="1" x14ac:dyDescent="0.3"/>
    <row r="19" spans="2:9" ht="11.25" customHeight="1" thickBot="1" x14ac:dyDescent="0.3">
      <c r="B19" s="402" t="s">
        <v>158</v>
      </c>
      <c r="C19" s="402"/>
      <c r="D19" s="402"/>
      <c r="E19" s="402"/>
      <c r="F19" s="402"/>
      <c r="G19" s="402"/>
      <c r="H19" s="402"/>
      <c r="I19" s="402"/>
    </row>
    <row r="20" spans="2:9" ht="6.75" customHeight="1" thickBot="1" x14ac:dyDescent="0.3">
      <c r="B20" s="402"/>
      <c r="C20" s="402"/>
      <c r="D20" s="402"/>
      <c r="E20" s="402"/>
      <c r="F20" s="402"/>
      <c r="G20" s="402"/>
      <c r="H20" s="402"/>
      <c r="I20" s="402"/>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11" t="s">
        <v>159</v>
      </c>
      <c r="C2" s="33" t="s">
        <v>2</v>
      </c>
    </row>
    <row r="3" spans="2:4" x14ac:dyDescent="0.25">
      <c r="B3" s="411"/>
      <c r="C3" s="34" t="s">
        <v>160</v>
      </c>
    </row>
    <row r="4" spans="2:4" x14ac:dyDescent="0.25">
      <c r="B4" s="411"/>
      <c r="C4" s="34" t="s">
        <v>161</v>
      </c>
    </row>
    <row r="5" spans="2:4" x14ac:dyDescent="0.25">
      <c r="B5" s="411"/>
      <c r="C5" s="34" t="s">
        <v>162</v>
      </c>
    </row>
    <row r="6" spans="2:4" x14ac:dyDescent="0.25">
      <c r="B6" s="411"/>
      <c r="C6" s="409" t="s">
        <v>163</v>
      </c>
    </row>
    <row r="7" spans="2:4" x14ac:dyDescent="0.25">
      <c r="B7" s="411"/>
      <c r="C7" s="410"/>
    </row>
    <row r="8" spans="2:4" ht="135.75" customHeight="1" x14ac:dyDescent="0.25">
      <c r="B8" s="404" t="s">
        <v>14</v>
      </c>
      <c r="C8" s="36" t="s">
        <v>18</v>
      </c>
      <c r="D8" s="38" t="s">
        <v>164</v>
      </c>
    </row>
    <row r="9" spans="2:4" ht="106.5" customHeight="1" x14ac:dyDescent="0.25">
      <c r="B9" s="405"/>
      <c r="C9" s="37" t="s">
        <v>19</v>
      </c>
      <c r="D9" s="39" t="s">
        <v>165</v>
      </c>
    </row>
    <row r="10" spans="2:4" ht="60" x14ac:dyDescent="0.25">
      <c r="B10" s="405"/>
      <c r="C10" s="36" t="s">
        <v>20</v>
      </c>
      <c r="D10" s="39" t="s">
        <v>166</v>
      </c>
    </row>
    <row r="11" spans="2:4" ht="45" x14ac:dyDescent="0.25">
      <c r="B11" s="405"/>
      <c r="C11" s="36" t="s">
        <v>21</v>
      </c>
      <c r="D11" s="40" t="s">
        <v>167</v>
      </c>
    </row>
    <row r="12" spans="2:4" ht="75" x14ac:dyDescent="0.25">
      <c r="B12" s="405"/>
      <c r="C12" s="36" t="s">
        <v>22</v>
      </c>
      <c r="D12" s="40" t="s">
        <v>168</v>
      </c>
    </row>
    <row r="13" spans="2:4" ht="51.75" customHeight="1" x14ac:dyDescent="0.25">
      <c r="B13" s="405"/>
      <c r="C13" s="36" t="s">
        <v>23</v>
      </c>
      <c r="D13" s="41" t="s">
        <v>169</v>
      </c>
    </row>
    <row r="14" spans="2:4" ht="48" customHeight="1" x14ac:dyDescent="0.25">
      <c r="B14" s="405"/>
      <c r="C14" s="36" t="s">
        <v>170</v>
      </c>
    </row>
    <row r="15" spans="2:4" ht="39" customHeight="1" x14ac:dyDescent="0.25">
      <c r="B15" s="406"/>
      <c r="C15" s="36" t="s">
        <v>171</v>
      </c>
    </row>
    <row r="16" spans="2:4" ht="39" customHeight="1" x14ac:dyDescent="0.25">
      <c r="B16" s="407" t="s">
        <v>172</v>
      </c>
      <c r="C16" s="35" t="s">
        <v>109</v>
      </c>
    </row>
    <row r="17" spans="2:3" x14ac:dyDescent="0.25">
      <c r="B17" s="408"/>
      <c r="C17" s="35" t="s">
        <v>173</v>
      </c>
    </row>
    <row r="18" spans="2:3" x14ac:dyDescent="0.25">
      <c r="B18" s="408"/>
      <c r="C18" s="42" t="s">
        <v>111</v>
      </c>
    </row>
    <row r="19" spans="2:3" x14ac:dyDescent="0.25">
      <c r="B19" s="408"/>
      <c r="C19" s="42" t="s">
        <v>112</v>
      </c>
    </row>
    <row r="20" spans="2:3" x14ac:dyDescent="0.25">
      <c r="B20" s="408"/>
      <c r="C20" s="42" t="s">
        <v>174</v>
      </c>
    </row>
    <row r="21" spans="2:3" x14ac:dyDescent="0.25">
      <c r="B21" s="408"/>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A34A46D5-98D1-429F-9723-233573917274}"/>
</file>

<file path=customXml/itemProps3.xml><?xml version="1.0" encoding="utf-8"?>
<ds:datastoreItem xmlns:ds="http://schemas.openxmlformats.org/officeDocument/2006/customXml" ds:itemID="{E72609EC-E857-4622-994B-E96659D84623}">
  <ds:schemaRefs>
    <ds:schemaRef ds:uri="http://purl.org/dc/elements/1.1/"/>
    <ds:schemaRef ds:uri="http://schemas.microsoft.com/office/2006/metadata/properties"/>
    <ds:schemaRef ds:uri="ebe639d6-1ac6-4b37-85e2-76c3031035ce"/>
    <ds:schemaRef ds:uri="http://purl.org/dc/dcmitype/"/>
    <ds:schemaRef ds:uri="http://schemas.microsoft.com/office/2006/documentManagement/types"/>
    <ds:schemaRef ds:uri="http://schemas.microsoft.com/office/infopath/2007/PartnerControls"/>
    <ds:schemaRef ds:uri="http://purl.org/dc/terms/"/>
    <ds:schemaRef ds:uri="08d88684-757b-4b5c-ad1e-8c68efdf6c6a"/>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OAP-DMOT</vt:lpstr>
      <vt:lpstr>Hoja1</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'OAP-DMOT'!Área_de_impresión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dcterms:created xsi:type="dcterms:W3CDTF">2014-03-17T17:12:16Z</dcterms:created>
  <dcterms:modified xsi:type="dcterms:W3CDTF">2023-02-08T13:31:03Z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0x0101003D1BF46F5BD3EC42A209941B33170B9D</vt:lpwstr>
  </property>
  <property fmtid="{D5CDD505-2E9C-101B-9397-08002B2CF9AE}" pid="3" name="MediaServiceImageTags">
    <vt:lpwstr/>
  </property>
</Properties>
</file>